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akt0gnBDqNShDnoWFpzbLqJUYIUnj6ijVRiE8xkyQtT3MHw62KG8yps9vnlrna4ov/WihkHEg/H9xAVsflFdyw==" workbookSaltValue="xwIZTlVcFDvDDe99bT0M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S12" i="14"/>
  <c r="V12" i="14" s="1"/>
  <c r="S16" i="14"/>
  <c r="V16" i="14" s="1"/>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R20" i="20"/>
  <c r="M20" i="21"/>
  <c r="F20" i="21"/>
  <c r="E20" i="16"/>
  <c r="P20" i="21"/>
  <c r="AJ20" i="16"/>
  <c r="AS20" i="11"/>
  <c r="L20" i="17"/>
  <c r="S20" i="17"/>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D20" i="16"/>
  <c r="BK20" i="16"/>
  <c r="AR20" i="11"/>
  <c r="AN20" i="16"/>
  <c r="O20" i="11"/>
  <c r="AB20" i="21"/>
  <c r="F20" i="16"/>
  <c r="AV20" i="11"/>
  <c r="K20" i="17"/>
  <c r="P20" i="11"/>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<sst xmlns="http://schemas.openxmlformats.org/spreadsheetml/2006/main" count="2102" uniqueCount="918">
  <si>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</si>
  <si>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</si>
  <si>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</si>
  <si>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</si>
  <si>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</si>
  <si>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</si>
  <si>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</si>
  <si>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</si>
  <si>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</si>
  <si>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</si>
  <si>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</si>
  <si>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</si>
  <si>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</si>
  <si>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</si>
  <si>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</si>
  <si>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</si>
  <si>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</si>
  <si>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</si>
  <si>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</si>
  <si>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</si>
  <si>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</si>
  <si>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</si>
  <si>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</si>
  <si>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</si>
  <si>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</si>
  <si>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</si>
  <si>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</si>
  <si>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</si>
  <si>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</si>
  <si>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</si>
  <si>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</si>
  <si>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</si>
  <si>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</si>
  <si>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</si>
  <si>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</si>
  <si>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</si>
  <si>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</si>
  <si>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</si>
  <si>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</si>
  <si>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</si>
  <si>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</si>
  <si>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</si>
  <si>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</si>
  <si>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</si>
  <si>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</si>
  <si>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</si>
  <si>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</si>
  <si>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</si>
  <si>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</si>
  <si>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</si>
  <si>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</si>
  <si>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</si>
  <si>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</si>
  <si>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</si>
  <si>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</si>
  <si>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</si>
  <si>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</si>
  <si>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</si>
  <si>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</si>
  <si>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</si>
  <si>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</si>
  <si>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</si>
  <si>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</si>
  <si>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</si>
  <si>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</si>
  <si>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</si>
  <si>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</si>
  <si>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</si>
  <si>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</si>
  <si>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</si>
  <si>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</si>
  <si>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</si>
  <si>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</si>
  <si>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</si>
  <si>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</si>
  <si>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</si>
  <si>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</si>
  <si>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</si>
  <si>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</si>
  <si>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</si>
  <si>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</si>
  <si>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</si>
  <si>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</si>
  <si>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</si>
  <si>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</si>
  <si>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</si>
  <si>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</si>
  <si>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</si>
  <si>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</si>
  <si>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</si>
  <si>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</si>
  <si>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</si>
  <si>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</si>
  <si>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</si>
  <si>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</si>
  <si>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</si>
  <si>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</si>
  <si>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</si>
  <si>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</si>
  <si>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</si>
  <si>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</si>
  <si>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</si>
  <si>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</si>
  <si>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</si>
  <si>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</si>
  <si>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</si>
  <si>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</si>
  <si>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</si>
  <si>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</si>
  <si>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</si>
  <si>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</si>
  <si>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</si>
  <si>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</si>
  <si>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</si>
  <si>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</si>
  <si>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</si>
  <si>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</si>
  <si>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</si>
  <si>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</si>
  <si>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</si>
  <si>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</si>
  <si>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</si>
  <si>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</si>
  <si>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</si>
  <si>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</si>
  <si>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</si>
  <si>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</si>
  <si>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</si>
  <si>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</si>
  <si>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</si>
  <si>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</si>
  <si>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</si>
  <si>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</si>
  <si>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</si>
  <si>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</si>
  <si>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</si>
  <si>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</si>
  <si>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</si>
  <si>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</si>
  <si>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</si>
  <si>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</si>
  <si>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</si>
  <si>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</si>
  <si>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</si>
  <si>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</si>
  <si>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</si>
  <si>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</si>
  <si>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</si>
  <si>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</si>
  <si>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</si>
  <si>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</si>
  <si>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</si>
  <si>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</si>
  <si>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</si>
  <si>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</si>
  <si>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</si>
  <si>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</si>
  <si>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</si>
  <si>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</si>
  <si>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</si>
  <si>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</si>
  <si>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</si>
  <si>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</si>
  <si>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</si>
  <si>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</si>
  <si>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</si>
  <si>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</si>
  <si>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</si>
  <si>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</si>
  <si>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</si>
  <si>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</si>
  <si>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</si>
  <si>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</si>
  <si>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</si>
  <si>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</si>
  <si>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</si>
  <si>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</si>
  <si>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</si>
  <si>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</si>
  <si>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</si>
  <si>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</si>
  <si>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</si>
  <si>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</si>
  <si>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</si>
  <si>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</si>
  <si>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</si>
  <si>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</si>
  <si>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</si>
  <si>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</si>
  <si>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</si>
  <si>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</si>
  <si>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</si>
  <si>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</si>
  <si>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</si>
  <si>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</si>
  <si>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</si>
  <si>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</si>
  <si>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</si>
  <si>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</si>
  <si>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</si>
  <si>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</si>
  <si>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</si>
  <si>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</si>
  <si>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</si>
  <si>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</si>
  <si>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</si>
  <si>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</si>
  <si>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</si>
  <si>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</si>
  <si>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</si>
  <si>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</si>
  <si>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</si>
  <si>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</si>
  <si>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</si>
  <si>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</si>
  <si>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</si>
  <si>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</si>
  <si>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</si>
  <si>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</si>
  <si>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</si>
  <si>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</si>
  <si>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</si>
  <si>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</si>
  <si>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</si>
  <si>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</si>
  <si>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</si>
  <si>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</si>
  <si>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</si>
  <si>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</si>
  <si>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</si>
  <si>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</si>
  <si>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</si>
  <si>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</si>
  <si>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</si>
  <si>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</si>
  <si>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</si>
  <si>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</si>
  <si>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</si>
  <si>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</si>
  <si>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</si>
  <si>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</si>
  <si>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</si>
  <si>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</si>
  <si>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</si>
  <si>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</si>
  <si>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</si>
  <si>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</si>
  <si>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</si>
  <si>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</si>
  <si>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</si>
  <si>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</si>
  <si>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</si>
  <si>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</si>
  <si>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</si>
  <si>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</si>
  <si>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</si>
  <si>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</si>
  <si>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</si>
  <si>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</si>
  <si>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</si>
  <si>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</si>
  <si>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</si>
  <si>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</si>
  <si>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</si>
  <si>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</si>
  <si>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</si>
  <si>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</si>
  <si>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</si>
  <si>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</si>
  <si>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</si>
  <si>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</si>
  <si>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</si>
  <si>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</si>
  <si>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</si>
  <si>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</si>
  <si>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</si>
  <si>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</si>
  <si>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</si>
  <si>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</si>
  <si>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</si>
  <si>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</si>
  <si>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</si>
  <si>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</si>
  <si>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</si>
  <si>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</si>
  <si>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</si>
  <si>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</si>
  <si>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</si>
  <si>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</si>
  <si>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</si>
  <si>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</si>
  <si>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</si>
  <si>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</si>
  <si>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</si>
  <si>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</si>
  <si>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</si>
  <si>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</si>
  <si>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</si>
  <si>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</si>
  <si>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</si>
  <si>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</si>
  <si>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</si>
  <si>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</si>
  <si>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</si>
  <si>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</si>
  <si>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</si>
  <si>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</si>
  <si>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</si>
  <si>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</si>
  <si>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</si>
  <si>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</si>
  <si>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</si>
  <si>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</si>
  <si>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</si>
  <si>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</si>
  <si>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</si>
  <si>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</si>
  <si>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</si>
  <si>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</si>
  <si>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</si>
  <si>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</si>
  <si>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</si>
  <si>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</si>
  <si>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</si>
  <si>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</si>
  <si>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</si>
  <si>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</si>
  <si>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</si>
  <si>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</si>
  <si>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</si>
  <si>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</si>
  <si>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</si>
  <si>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</si>
  <si>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</si>
  <si>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</si>
  <si>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</si>
  <si>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</si>
  <si>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</si>
  <si>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</si>
  <si>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</si>
  <si>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</si>
  <si>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</si>
  <si>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</si>
  <si>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</si>
  <si>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</si>
  <si>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</si>
  <si>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</si>
  <si>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</si>
  <si>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</si>
  <si>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</si>
  <si>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</si>
  <si>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</si>
  <si>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</si>
  <si>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</si>
  <si>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</si>
  <si>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</si>
  <si>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</si>
  <si>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</si>
  <si>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</si>
  <si>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</si>
  <si>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</si>
  <si>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</si>
  <si>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</si>
  <si>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</si>
  <si>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</si>
  <si>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</si>
  <si>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</si>
  <si>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</si>
  <si>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</si>
  <si>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</si>
  <si>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</si>
  <si>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</si>
  <si>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</si>
  <si>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</si>
  <si>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</si>
  <si>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</si>
  <si>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</si>
  <si>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</si>
  <si>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</si>
  <si>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</si>
  <si>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</si>
  <si>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</si>
  <si>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</si>
  <si>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</si>
  <si>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</si>
  <si>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</si>
  <si>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</si>
  <si>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</si>
  <si>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</si>
  <si>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</si>
  <si>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</si>
  <si>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</si>
  <si>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</si>
  <si>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</si>
  <si>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</si>
  <si>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</si>
  <si>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</si>
  <si>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</si>
  <si>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</si>
  <si>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</si>
  <si>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</si>
  <si>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</si>
  <si>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</si>
  <si>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</si>
  <si>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</si>
  <si>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</si>
  <si>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</si>
  <si>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</si>
  <si>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</si>
  <si>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</si>
  <si>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</si>
  <si>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</si>
  <si>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</si>
  <si>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</si>
  <si>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</si>
  <si>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</si>
  <si>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</si>
  <si>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</si>
  <si>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</si>
  <si>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</si>
  <si>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</si>
  <si>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</si>
  <si>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</si>
  <si>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</si>
  <si>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</si>
  <si>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</si>
  <si>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</si>
  <si>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</si>
  <si>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</si>
  <si>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</si>
  <si>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</si>
  <si>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</si>
  <si>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</si>
  <si>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</si>
  <si>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</si>
  <si>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</si>
  <si>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</si>
  <si>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</si>
  <si>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</si>
  <si>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</si>
  <si>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</si>
  <si>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</si>
  <si>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</si>
  <si>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</si>
  <si>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</si>
  <si>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</si>
  <si>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</si>
  <si>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</si>
  <si>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</si>
  <si>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</si>
  <si>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</si>
  <si>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</si>
  <si>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</si>
  <si>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</si>
  <si>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</si>
  <si>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</si>
  <si>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</si>
  <si>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</si>
  <si>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</si>
  <si>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</si>
  <si>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</si>
  <si>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</si>
  <si>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</si>
  <si>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</si>
  <si>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</si>
  <si>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</si>
  <si>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</si>
  <si>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</si>
  <si>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</si>
  <si>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</si>
  <si>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</si>
  <si>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</si>
  <si>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</si>
  <si>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</si>
  <si>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</si>
  <si>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</si>
  <si>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</si>
  <si>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</si>
  <si>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</si>
  <si>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</si>
  <si>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</si>
  <si>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</si>
  <si>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</si>
  <si>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</si>
  <si>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</si>
  <si>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</si>
  <si>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</si>
  <si>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</si>
  <si>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</si>
  <si>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</si>
  <si>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</si>
  <si>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</si>
  <si>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</si>
  <si>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</si>
  <si>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</si>
  <si>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</si>
  <si>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</si>
  <si>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</si>
  <si>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</si>
  <si>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</si>
  <si>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</si>
  <si>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</si>
  <si>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</si>
  <si>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</si>
  <si>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</si>
  <si>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</si>
  <si>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</si>
  <si>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</si>
  <si>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</si>
  <si>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</si>
  <si>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</si>
  <si>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</si>
  <si>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</si>
  <si>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</si>
  <si>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</si>
  <si>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</si>
  <si>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</si>
  <si>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</si>
  <si>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</si>
  <si>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</si>
  <si>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</si>
  <si>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</si>
  <si>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</si>
  <si>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</si>
  <si>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</si>
  <si>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</si>
  <si>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</si>
  <si>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</si>
  <si>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</si>
  <si>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</si>
  <si>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</si>
  <si>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</si>
  <si>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</si>
  <si>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</si>
  <si>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</si>
  <si>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</si>
  <si>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</si>
  <si>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</si>
  <si>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</si>
  <si>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</si>
  <si>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</si>
  <si>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</si>
  <si>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</si>
  <si>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</si>
  <si>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</si>
  <si>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</si>
  <si>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</si>
  <si>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</si>
  <si>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</si>
  <si>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</si>
  <si>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</si>
  <si>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</si>
  <si>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</si>
  <si>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</si>
  <si>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</si>
  <si>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</si>
  <si>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</si>
  <si>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</si>
  <si>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</si>
  <si>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</si>
  <si>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</si>
  <si>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</si>
  <si>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</si>
  <si>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</si>
  <si>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</si>
  <si>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</si>
  <si>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</si>
  <si>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</si>
  <si>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</si>
  <si>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</si>
  <si>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</si>
  <si>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</si>
  <si>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</si>
  <si>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</si>
  <si>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</si>
  <si>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</si>
  <si>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</si>
  <si>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</si>
  <si>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</si>
  <si>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</si>
  <si>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</si>
  <si>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</si>
  <si>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</si>
  <si>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</si>
  <si>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</si>
  <si>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</si>
  <si>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</si>
  <si>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</si>
  <si>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</si>
  <si>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</si>
  <si>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</si>
  <si>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</si>
  <si>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</si>
  <si>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</si>
  <si>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</si>
  <si>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</si>
  <si>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</si>
  <si>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</si>
  <si>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</si>
  <si>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</si>
  <si>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</si>
  <si>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</si>
  <si>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</si>
  <si>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</si>
  <si>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</si>
  <si>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</si>
  <si>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</si>
  <si>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</si>
  <si>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</si>
  <si>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</si>
  <si>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</si>
  <si>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</si>
  <si>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</si>
  <si>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</si>
  <si>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</si>
  <si>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</si>
  <si>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</si>
  <si>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</si>
  <si>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</si>
  <si>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</si>
  <si>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</si>
  <si>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</si>
  <si>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</si>
  <si>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</si>
  <si>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</si>
  <si>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</si>
  <si>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</si>
  <si>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</si>
  <si>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</si>
  <si>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</si>
  <si>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</si>
  <si>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</si>
  <si>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</si>
  <si>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</si>
  <si>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</si>
  <si>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</si>
  <si>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</si>
  <si>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</si>
  <si>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</si>
  <si>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</si>
  <si>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</si>
  <si>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</si>
  <si>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</si>
  <si>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</si>
  <si>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</si>
  <si>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</si>
  <si>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</si>
  <si>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</si>
  <si>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</si>
  <si>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</si>
  <si>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</si>
  <si>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</si>
  <si>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</si>
  <si>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</si>
  <si>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</si>
  <si>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</si>
  <si>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</si>
  <si>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</si>
  <si>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</si>
  <si>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</si>
  <si>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</si>
  <si>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</si>
  <si>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</si>
  <si>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</si>
  <si>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</si>
  <si>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</si>
  <si>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</si>
  <si>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</si>
  <si>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</si>
  <si>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</si>
  <si>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</si>
  <si>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</si>
  <si>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</si>
  <si>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</si>
  <si>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</si>
  <si>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</si>
  <si>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</si>
  <si>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</si>
  <si>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</si>
  <si>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</si>
  <si>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</si>
  <si>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</si>
  <si>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</si>
  <si>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</si>
  <si>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</si>
  <si>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</si>
  <si>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</si>
  <si>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</si>
  <si>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</si>
  <si>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</si>
  <si>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</si>
  <si>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</si>
  <si>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</si>
  <si>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</si>
  <si>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</si>
  <si>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</si>
  <si>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</si>
  <si>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</si>
  <si>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</si>
  <si>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</si>
  <si>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</si>
  <si>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</si>
  <si>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</si>
  <si>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</si>
  <si>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</si>
  <si>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</si>
  <si>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</si>
  <si>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</si>
  <si>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</si>
  <si>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</si>
  <si>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</si>
  <si>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</si>
  <si>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</si>
  <si>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</si>
  <si>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</si>
  <si>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</si>
  <si>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</si>
  <si>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</si>
  <si>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</si>
  <si>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</si>
  <si>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</si>
  <si>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</si>
  <si>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</si>
  <si>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</si>
  <si>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</si>
  <si>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</si>
  <si>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</si>
  <si>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</si>
  <si>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</si>
  <si>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</si>
  <si>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</si>
  <si>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</si>
  <si>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</si>
  <si>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</si>
  <si>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</si>
  <si>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</si>
  <si>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</si>
  <si>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</si>
  <si>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</si>
  <si>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</si>
  <si>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</si>
  <si>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</si>
  <si>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</si>
  <si>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</si>
  <si>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</si>
  <si>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</si>
  <si>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</si>
  <si>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</si>
  <si>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</si>
  <si>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</si>
  <si>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</si>
  <si>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</si>
  <si>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</si>
  <si>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</si>
  <si>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</si>
  <si>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</si>
  <si>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</si>
  <si>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</si>
  <si>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</si>
  <si>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</si>
  <si>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</si>
  <si>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</si>
  <si>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</si>
  <si>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</si>
  <si>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</si>
  <si>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</si>
  <si>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</si>
  <si>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</si>
  <si>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</si>
  <si>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</si>
  <si>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</si>
  <si>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</si>
  <si>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</si>
  <si>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</si>
  <si>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</si>
  <si>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</si>
  <si>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</si>
  <si>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</si>
  <si>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</si>
  <si>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</si>
  <si>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</si>
  <si>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</si>
  <si>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</si>
  <si>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</si>
  <si>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</si>
  <si>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</si>
  <si>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</si>
  <si>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</si>
  <si>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</si>
  <si>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</si>
  <si>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</si>
  <si>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</si>
  <si>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</si>
  <si>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</si>
  <si>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</si>
  <si>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</si>
  <si>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</si>
  <si>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</si>
  <si>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</si>
  <si>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</si>
  <si>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</si>
  <si>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</si>
  <si>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</si>
  <si>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</si>
  <si>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</si>
  <si>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</si>
  <si>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</si>
  <si>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</si>
  <si>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</si>
  <si>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</si>
  <si>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</si>
  <si>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</si>
  <si>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</si>
  <si>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</si>
  <si>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</si>
  <si>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</si>
  <si>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</si>
  <si>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</si>
  <si>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</si>
  <si>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</si>
  <si>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</si>
  <si>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</si>
  <si>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</si>
  <si>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</si>
  <si>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</si>
  <si>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</si>
  <si>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</si>
  <si>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</si>
  <si>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</si>
  <si>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</si>
  <si>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</si>
  <si>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</si>
  <si>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</si>
  <si>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</si>
  <si>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</si>
  <si>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</si>
  <si>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</si>
  <si>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</si>
  <si>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</si>
  <si>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</si>
  <si>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</si>
  <si>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</si>
  <si>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</si>
  <si>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</si>
  <si>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</si>
  <si>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</si>
  <si>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</si>
  <si>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</si>
  <si>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</si>
  <si>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</si>
  <si>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</si>
  <si>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</si>
  <si>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</si>
  <si>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</si>
  <si>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</si>
  <si>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</si>
  <si>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</si>
  <si>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</si>
  <si>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</si>
  <si>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</si>
  <si>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</si>
  <si>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</si>
  <si>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</si>
  <si>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</si>
  <si>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</si>
  <si>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</si>
  <si>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</si>
  <si>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</si>
  <si>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</si>
  <si>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</si>
  <si>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</si>
  <si>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</si>
  <si>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</si>
  <si>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</si>
  <si>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</si>
  <si>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</si>
  <si>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</si>
  <si>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</si>
  <si>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</si>
  <si>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</si>
  <si>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</si>
  <si>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</si>
  <si>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</si>
  <si>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</si>
  <si>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</si>
  <si>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</si>
  <si>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</si>
  <si>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</si>
  <si>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</si>
  <si>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</si>
  <si>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</si>
  <si>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</si>
  <si>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</si>
  <si>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</si>
  <si>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</si>
  <si>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</si>
  <si>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</si>
  <si>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</si>
  <si>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</si>
  <si>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</si>
  <si>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</si>
  <si>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</si>
  <si>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</si>
  <si>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</si>
  <si>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</si>
  <si>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</si>
  <si>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</si>
  <si>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</si>
  <si>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</si>
  <si>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</si>
  <si>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</si>
  <si>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</si>
  <si>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</si>
  <si>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</si>
  <si>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</si>
  <si>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LEON</t>
  </si>
  <si>
    <t>Resumenes por Partidos Judiciales</t>
  </si>
  <si>
    <t>CISTIERNA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</si>
</sst>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e+HBpH84ykENsm/lELc/YZlMihKtg+c5Mfg2w28wwqoUB5nvSZzs3YknPw99lsYNvXUCmzs91GeaNZzzMLKgg==" saltValue="iZv4MxQN5hJENbrefGs7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3</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2.8205128205128203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223</v>
      </c>
      <c r="D16" s="225">
        <f>IF(ISNUMBER(IF(D_I="SI",Datos!I16,Datos!I16+Datos!AC16)),IF(D_I="SI",Datos!I16,Datos!I16+Datos!AC16)," - ")</f>
        <v>203</v>
      </c>
      <c r="E16" s="226">
        <f>IF(ISNUMBER(IF(D_I="SI",Datos!J16,Datos!J16+Datos!AD16)),IF(D_I="SI",Datos!J16,Datos!J16+Datos!AD16)," - ")</f>
        <v>375</v>
      </c>
      <c r="F16" s="226">
        <f>IF(ISNUMBER(IF(D_I="SI",Datos!K16,Datos!K16+Datos!AE16)),IF(D_I="SI",Datos!K16,Datos!K16+Datos!AE16)," - ")</f>
        <v>412</v>
      </c>
      <c r="G16" s="1034" t="str">
        <f>IF(Datos!E16&lt;&gt;"",Datos!E16,Datos!D16)</f>
        <v>04</v>
      </c>
      <c r="H16" s="227">
        <f>IF(ISNUMBER(IF(D_I="SI",Datos!L16,Datos!L16+Datos!AF16)),IF(D_I="SI",Datos!L16,Datos!L16+Datos!AF16)," - ")</f>
        <v>186</v>
      </c>
      <c r="I16" s="1044" t="str">
        <f>IF(ISNUMBER(Datos!AS16/Datos!BM16),Datos!AS16/Datos!BM16," - ")</f>
        <v xml:space="preserve"> - </v>
      </c>
      <c r="J16" s="1045">
        <f>IF(ISNUMBER(Datos!BY16/Datos!CN16),Datos!BY16/Datos!CN16," - ")</f>
        <v>0</v>
      </c>
      <c r="K16" s="230">
        <f t="shared" si="3"/>
        <v>-0.16591928251121077</v>
      </c>
      <c r="L16" s="1025">
        <f>IF(ISNUMBER(NºAsuntos!I16/NºAsuntos!G16),(NºAsuntos!I16/NºAsuntos!G16)*11," - ")</f>
        <v>4.9660194174757279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10</v>
      </c>
      <c r="F17" s="226">
        <f>IF(ISNUMBER(IF(D_I="SI",Datos!K17,Datos!K17+Datos!AE17)),IF(D_I="SI",Datos!K17,Datos!K17+Datos!AE17)," - ")</f>
        <v>8</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225</v>
      </c>
      <c r="D18" s="1049">
        <f>SUBTOTAL(9,D15:D17)</f>
        <v>205</v>
      </c>
      <c r="E18" s="1050">
        <f>SUBTOTAL(9,E15:E17)</f>
        <v>385</v>
      </c>
      <c r="F18" s="1050">
        <f>SUBTOTAL(9,F15:F17)</f>
        <v>420</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225</v>
      </c>
      <c r="D19" s="1071">
        <f>SUBTOTAL(9,D9:D18)</f>
        <v>205</v>
      </c>
      <c r="E19" s="1072">
        <f>SUBTOTAL(9,E9:E18)</f>
        <v>389</v>
      </c>
      <c r="F19" s="1072">
        <f>SUBTOTAL(9,F9:F18)</f>
        <v>423</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K1xGQ+hc23/btte0pg8yAGb9z5OFKkSOWN1BxFpS4CDg4uWDId+bcwK43mpG+z8nG+YtgRzJ+mT7kwfvLvjVQ==" saltValue="Sn8XKmjTYVUsBy8hMO0d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CY88Qq+vTOS7HdW7j+CViiqsjcjvHRMC6EdiFuFIO0nHq3DOx37CCdUhkE8fq7Ccz+kUjs7pBFUW/9w8nv1kw==" saltValue="Jl8vpppdfnL0tEw5ERGW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3</v>
      </c>
      <c r="L10" s="181">
        <v>1</v>
      </c>
      <c r="M10" s="181">
        <v>2</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v>
      </c>
      <c r="J12" s="183">
        <v>615</v>
      </c>
      <c r="K12" s="183">
        <v>595</v>
      </c>
      <c r="L12" s="183">
        <v>159</v>
      </c>
      <c r="M12" s="183">
        <v>306</v>
      </c>
      <c r="N12" s="183">
        <v>138</v>
      </c>
      <c r="O12" s="181">
        <v>149</v>
      </c>
      <c r="P12" s="183">
        <v>167</v>
      </c>
      <c r="Q12" s="183">
        <v>186</v>
      </c>
      <c r="R12" s="183">
        <v>203</v>
      </c>
      <c r="S12" s="183">
        <v>114</v>
      </c>
      <c r="T12" s="183">
        <v>358</v>
      </c>
      <c r="U12" s="183">
        <v>327</v>
      </c>
      <c r="V12" s="183">
        <v>139</v>
      </c>
      <c r="W12" s="183">
        <v>90</v>
      </c>
      <c r="X12" s="189">
        <v>110</v>
      </c>
      <c r="Y12" s="191">
        <v>5</v>
      </c>
      <c r="Z12" s="181">
        <v>25</v>
      </c>
      <c r="AA12" s="181">
        <v>29</v>
      </c>
      <c r="AB12" s="181">
        <v>1</v>
      </c>
      <c r="AC12" s="183">
        <v>0</v>
      </c>
      <c r="AD12" s="183">
        <v>0</v>
      </c>
      <c r="AE12" s="183">
        <v>0</v>
      </c>
      <c r="AF12" s="189">
        <v>0</v>
      </c>
      <c r="AG12" s="202">
        <v>2</v>
      </c>
      <c r="AH12" s="183">
        <v>43</v>
      </c>
      <c r="AI12" s="183">
        <v>40</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116</v>
      </c>
      <c r="AZ12" s="127">
        <f t="shared" si="1"/>
        <v>401</v>
      </c>
      <c r="BA12" s="127">
        <f t="shared" si="1"/>
        <v>367</v>
      </c>
      <c r="BB12" s="127">
        <f t="shared" si="1"/>
        <v>144</v>
      </c>
      <c r="BC12" s="125">
        <f>IF(ISNUMBER(X12),X12," - ")</f>
        <v>110</v>
      </c>
      <c r="BD12" s="126">
        <f t="shared" si="2"/>
        <v>0.91521197007481292</v>
      </c>
      <c r="BE12" s="127">
        <f t="shared" si="3"/>
        <v>0.39237057220708449</v>
      </c>
      <c r="BF12" s="127">
        <f t="shared" si="4"/>
        <v>0.29972752043596729</v>
      </c>
      <c r="BG12" s="196">
        <f t="shared" si="5"/>
        <v>1.4087193460490464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v>
      </c>
      <c r="J13" s="184">
        <f t="shared" si="6"/>
        <v>619</v>
      </c>
      <c r="K13" s="184">
        <f t="shared" si="6"/>
        <v>598</v>
      </c>
      <c r="L13" s="184">
        <f t="shared" si="6"/>
        <v>160</v>
      </c>
      <c r="M13" s="184">
        <f t="shared" si="6"/>
        <v>308</v>
      </c>
      <c r="N13" s="184">
        <f t="shared" si="6"/>
        <v>138</v>
      </c>
      <c r="O13" s="184">
        <f t="shared" si="6"/>
        <v>149</v>
      </c>
      <c r="P13" s="184">
        <f t="shared" si="6"/>
        <v>167</v>
      </c>
      <c r="Q13" s="184">
        <f t="shared" si="6"/>
        <v>186</v>
      </c>
      <c r="R13" s="184">
        <f t="shared" si="6"/>
        <v>203</v>
      </c>
      <c r="S13" s="184">
        <f t="shared" si="6"/>
        <v>114</v>
      </c>
      <c r="T13" s="184">
        <f t="shared" si="6"/>
        <v>358</v>
      </c>
      <c r="U13" s="184">
        <f t="shared" si="6"/>
        <v>327</v>
      </c>
      <c r="V13" s="184">
        <f t="shared" si="6"/>
        <v>139</v>
      </c>
      <c r="W13" s="184">
        <f t="shared" si="6"/>
        <v>90</v>
      </c>
      <c r="X13" s="184">
        <f t="shared" si="6"/>
        <v>110</v>
      </c>
      <c r="Y13" s="184">
        <f t="shared" si="6"/>
        <v>5</v>
      </c>
      <c r="Z13" s="184">
        <f t="shared" si="6"/>
        <v>25</v>
      </c>
      <c r="AA13" s="184">
        <f t="shared" si="6"/>
        <v>29</v>
      </c>
      <c r="AB13" s="184">
        <f t="shared" si="6"/>
        <v>1</v>
      </c>
      <c r="AC13" s="184">
        <f t="shared" si="6"/>
        <v>0</v>
      </c>
      <c r="AD13" s="184">
        <f t="shared" si="6"/>
        <v>0</v>
      </c>
      <c r="AE13" s="184">
        <f t="shared" si="6"/>
        <v>0</v>
      </c>
      <c r="AF13" s="184">
        <f>SUBTOTAL(9,AF9:AF12)</f>
        <v>0</v>
      </c>
      <c r="AG13" s="184">
        <f t="shared" ref="AG13:AT13" si="7">SUBTOTAL(9,AG8:AG12)</f>
        <v>2</v>
      </c>
      <c r="AH13" s="184">
        <f t="shared" si="7"/>
        <v>43</v>
      </c>
      <c r="AI13" s="184">
        <f t="shared" si="7"/>
        <v>40</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116</v>
      </c>
      <c r="AZ13" s="184">
        <f>SUBTOTAL(9,AZ8:AZ12)</f>
        <v>401</v>
      </c>
      <c r="BA13" s="184">
        <f>SUBTOTAL(9,BA8:BA12)</f>
        <v>367</v>
      </c>
      <c r="BB13" s="184">
        <f>SUBTOTAL(9,BB8:BB12)</f>
        <v>144</v>
      </c>
      <c r="BC13" s="184">
        <f>SUBTOTAL(9,BC8:BC12)</f>
        <v>110</v>
      </c>
      <c r="BD13" s="205">
        <f>IF(ISNUMBER(BA13/AZ13),BA13/AZ13," - ")</f>
        <v>0.91521197007481292</v>
      </c>
      <c r="BE13" s="206">
        <f>IF(ISNUMBER(BB13/BA13),BB13/BA13, " - ")</f>
        <v>0.39237057220708449</v>
      </c>
      <c r="BF13" s="206">
        <f>IF(ISNUMBER(BC13/BA13),BC13/BA13, " - ")</f>
        <v>0.29972752043596729</v>
      </c>
      <c r="BG13" s="207">
        <f>IF(ISNUMBER((AY13+AZ13)/BA13),(AY13+AZ13)/BA13," - ")</f>
        <v>1.4087193460490464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203</v>
      </c>
      <c r="J16" s="183">
        <v>375</v>
      </c>
      <c r="K16" s="183">
        <v>412</v>
      </c>
      <c r="L16" s="183">
        <v>186</v>
      </c>
      <c r="M16" s="183">
        <v>123</v>
      </c>
      <c r="N16" s="183">
        <v>147</v>
      </c>
      <c r="O16" s="181">
        <v>0</v>
      </c>
      <c r="P16" s="183">
        <v>24</v>
      </c>
      <c r="Q16" s="183">
        <v>27</v>
      </c>
      <c r="R16" s="183">
        <v>17</v>
      </c>
      <c r="S16" s="183">
        <v>140</v>
      </c>
      <c r="T16" s="183">
        <v>345</v>
      </c>
      <c r="U16" s="183">
        <v>282</v>
      </c>
      <c r="V16" s="183">
        <v>203</v>
      </c>
      <c r="W16" s="183">
        <v>49</v>
      </c>
      <c r="X16" s="189">
        <v>139</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140</v>
      </c>
      <c r="AZ16" s="127">
        <f t="shared" si="9"/>
        <v>345</v>
      </c>
      <c r="BA16" s="127">
        <f t="shared" si="9"/>
        <v>282</v>
      </c>
      <c r="BB16" s="127">
        <f t="shared" si="9"/>
        <v>203</v>
      </c>
      <c r="BC16" s="125">
        <f>IF(ISNUMBER(W16),W16," - ")</f>
        <v>49</v>
      </c>
      <c r="BD16" s="126">
        <f t="shared" ref="BD16" si="11">IF(ISNUMBER(BA16/AZ16),BA16/AZ16," - ")</f>
        <v>0.81739130434782614</v>
      </c>
      <c r="BE16" s="127">
        <f t="shared" ref="BE16" si="12">IF(ISNUMBER(BB16/BA16),BB16/BA16, " - ")</f>
        <v>0.71985815602836878</v>
      </c>
      <c r="BF16" s="127">
        <f t="shared" ref="BF16" si="13">IF(ISNUMBER(BC16/BA16),BC16/BA16, " - ")</f>
        <v>0.17375886524822695</v>
      </c>
      <c r="BG16" s="196">
        <f t="shared" si="10"/>
        <v>1.7198581560283688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10</v>
      </c>
      <c r="K17" s="183">
        <v>8</v>
      </c>
      <c r="L17" s="183">
        <v>4</v>
      </c>
      <c r="M17" s="183">
        <v>1</v>
      </c>
      <c r="N17" s="183">
        <v>10</v>
      </c>
      <c r="O17" s="183">
        <v>0</v>
      </c>
      <c r="P17" s="183">
        <v>0</v>
      </c>
      <c r="Q17" s="183">
        <v>0</v>
      </c>
      <c r="R17" s="183">
        <v>0</v>
      </c>
      <c r="S17" s="183">
        <v>1</v>
      </c>
      <c r="T17" s="183">
        <v>16</v>
      </c>
      <c r="U17" s="183">
        <v>15</v>
      </c>
      <c r="V17" s="183">
        <v>2</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16</v>
      </c>
      <c r="BA17" s="129">
        <f t="shared" si="14"/>
        <v>15</v>
      </c>
      <c r="BB17" s="129">
        <f t="shared" si="14"/>
        <v>2</v>
      </c>
      <c r="BC17" s="125">
        <f>IF(ISNUMBER(W17),W17," - ")</f>
        <v>0</v>
      </c>
      <c r="BD17" s="126">
        <f>IF(ISNUMBER(BA17/AZ17),BA17/AZ17," - ")</f>
        <v>0.9375</v>
      </c>
      <c r="BE17" s="127">
        <f>IF(ISNUMBER(BB17/BA17),BB17/BA17, " - ")</f>
        <v>0.13333333333333333</v>
      </c>
      <c r="BF17" s="127">
        <f>IF(ISNUMBER(BC17/BA17),BC17/BA17, " - ")</f>
        <v>0</v>
      </c>
      <c r="BG17" s="196">
        <f>IF(ISNUMBER((AY17+AZ17)/BA17),(AY17+AZ17)/BA17," - ")</f>
        <v>1.1333333333333333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v>
      </c>
      <c r="J18" s="184">
        <f t="shared" si="15"/>
        <v>385</v>
      </c>
      <c r="K18" s="184">
        <f t="shared" si="15"/>
        <v>420</v>
      </c>
      <c r="L18" s="184">
        <f t="shared" si="15"/>
        <v>190</v>
      </c>
      <c r="M18" s="184">
        <f t="shared" si="15"/>
        <v>124</v>
      </c>
      <c r="N18" s="184">
        <f t="shared" si="15"/>
        <v>157</v>
      </c>
      <c r="O18" s="184">
        <f t="shared" si="15"/>
        <v>0</v>
      </c>
      <c r="P18" s="184">
        <f t="shared" si="15"/>
        <v>24</v>
      </c>
      <c r="Q18" s="184">
        <f t="shared" si="15"/>
        <v>27</v>
      </c>
      <c r="R18" s="184">
        <f t="shared" si="15"/>
        <v>17</v>
      </c>
      <c r="S18" s="184">
        <f t="shared" si="15"/>
        <v>141</v>
      </c>
      <c r="T18" s="184">
        <f t="shared" si="15"/>
        <v>361</v>
      </c>
      <c r="U18" s="184">
        <f t="shared" si="15"/>
        <v>297</v>
      </c>
      <c r="V18" s="184">
        <f t="shared" si="15"/>
        <v>205</v>
      </c>
      <c r="W18" s="184">
        <f t="shared" si="15"/>
        <v>49</v>
      </c>
      <c r="X18" s="184">
        <f t="shared" si="15"/>
        <v>150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141</v>
      </c>
      <c r="AZ18" s="184">
        <f>SUBTOTAL(9,AZ14:AZ17)</f>
        <v>361</v>
      </c>
      <c r="BA18" s="184">
        <f>SUBTOTAL(9,BA14:BA17)</f>
        <v>297</v>
      </c>
      <c r="BB18" s="184">
        <f>SUBTOTAL(9,BB14:BB17)</f>
        <v>205</v>
      </c>
      <c r="BC18" s="184">
        <f>SUBTOTAL(9,BC14:BC17)</f>
        <v>49</v>
      </c>
      <c r="BD18" s="205">
        <f>IF(ISNUMBER(BA18/AZ18),BA18/AZ18," - ")</f>
        <v>0.82271468144044324</v>
      </c>
      <c r="BE18" s="206">
        <f>IF(ISNUMBER(BB18/BA18),BB18/BA18, " - ")</f>
        <v>0.6902356902356902</v>
      </c>
      <c r="BF18" s="206">
        <f>IF(ISNUMBER(BC18/BA18),BC18/BA18, " - ")</f>
        <v>0.16498316498316498</v>
      </c>
      <c r="BG18" s="207">
        <f>IF(ISNUMBER((AY18+AZ18)/BA18),(AY18+AZ18)/BA18," - ")</f>
        <v>1.6902356902356903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344</v>
      </c>
      <c r="J19" s="134">
        <f t="shared" si="18"/>
        <v>1004</v>
      </c>
      <c r="K19" s="134">
        <f t="shared" si="18"/>
        <v>1018</v>
      </c>
      <c r="L19" s="134">
        <f t="shared" si="18"/>
        <v>350</v>
      </c>
      <c r="M19" s="134">
        <f t="shared" si="18"/>
        <v>432</v>
      </c>
      <c r="N19" s="134">
        <f t="shared" si="18"/>
        <v>295</v>
      </c>
      <c r="O19" s="134">
        <f t="shared" si="18"/>
        <v>149</v>
      </c>
      <c r="P19" s="134">
        <f t="shared" si="18"/>
        <v>191</v>
      </c>
      <c r="Q19" s="134">
        <f t="shared" si="18"/>
        <v>213</v>
      </c>
      <c r="R19" s="134">
        <f t="shared" si="18"/>
        <v>220</v>
      </c>
      <c r="S19" s="134">
        <f t="shared" si="18"/>
        <v>255</v>
      </c>
      <c r="T19" s="134">
        <f t="shared" si="18"/>
        <v>719</v>
      </c>
      <c r="U19" s="134">
        <f t="shared" si="18"/>
        <v>624</v>
      </c>
      <c r="V19" s="134">
        <f t="shared" si="18"/>
        <v>344</v>
      </c>
      <c r="W19" s="134">
        <f t="shared" si="18"/>
        <v>139</v>
      </c>
      <c r="X19" s="134">
        <f t="shared" si="18"/>
        <v>260</v>
      </c>
      <c r="Y19" s="134">
        <f t="shared" si="18"/>
        <v>5</v>
      </c>
      <c r="Z19" s="134">
        <f t="shared" si="18"/>
        <v>25</v>
      </c>
      <c r="AA19" s="134">
        <f t="shared" si="18"/>
        <v>29</v>
      </c>
      <c r="AB19" s="134">
        <f t="shared" si="18"/>
        <v>1</v>
      </c>
      <c r="AC19" s="134">
        <f t="shared" si="18"/>
        <v>0</v>
      </c>
      <c r="AD19" s="134">
        <f t="shared" si="18"/>
        <v>1</v>
      </c>
      <c r="AE19" s="134">
        <f t="shared" si="18"/>
        <v>1</v>
      </c>
      <c r="AF19" s="134">
        <f t="shared" si="18"/>
        <v>0</v>
      </c>
      <c r="AG19" s="134">
        <f t="shared" si="18"/>
        <v>2</v>
      </c>
      <c r="AH19" s="134">
        <f t="shared" si="18"/>
        <v>43</v>
      </c>
      <c r="AI19" s="134">
        <f t="shared" si="18"/>
        <v>40</v>
      </c>
      <c r="AJ19" s="134">
        <f t="shared" si="18"/>
        <v>5</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257</v>
      </c>
      <c r="AZ19" s="134">
        <f>SUBTOTAL(9,AZ9:AZ18)</f>
        <v>762</v>
      </c>
      <c r="BA19" s="134">
        <f>SUBTOTAL(9,BA9:BA18)</f>
        <v>664</v>
      </c>
      <c r="BB19" s="134">
        <f>SUBTOTAL(9,BB9:BB18)</f>
        <v>349</v>
      </c>
      <c r="BC19" s="135">
        <f>SUBTOTAL(9,BC9:BC18)</f>
        <v>159</v>
      </c>
      <c r="BD19" s="213">
        <f>IF(ISNUMBER(BA19/AZ19),BA19/AZ19," - ")</f>
        <v>0.87139107611548561</v>
      </c>
      <c r="BE19" s="210">
        <f>IF(ISNUMBER(BB19/BA19),BB19/BA19, " - ")</f>
        <v>0.5256024096385542</v>
      </c>
      <c r="BF19" s="210">
        <f>IF(ISNUMBER(BC19/BA19),BC19/BA19, " - ")</f>
        <v>0.23945783132530121</v>
      </c>
      <c r="BG19" s="135">
        <f>IF(ISNUMBER((AY19+AZ19)/BA19),(AY19+AZ19)/BA19," - ")</f>
        <v>1.5346385542168675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iAVj7t4b0nVJwaE8/X48Ap5a0tBnlbSL3gfSV43z/mvJVuuWqLytztsEP7gPNsnVREhJqhXTh9xG6w5oj0s9Q==" saltValue="y5HFPmAYj9TZ9uD5JjLb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zJIGW+BzR6eaDGi48kmMQ7CyLRZ0So8nnIiHNgZuFb9DQiiXLRZYv1k0v1Q3FYN50RLckJD0/PRXrRG4pDZWQ==" saltValue="AYY7zCSiOkr9GEYP0D0+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3.6666666666666665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306</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0.97499999999999998</v>
      </c>
      <c r="BH12" s="260">
        <f>IF(ISNUMBER(((IF(J_V="SI",Datos!L12/Datos!K12,(Datos!L12+Datos!AB12)/(Datos!K12+Datos!AA12)))*11)/factor_trimestre),((IF(J_V="SI",Datos!L12/Datos!K12,(Datos!L12+Datos!AB12)/(Datos!K12+Datos!AA12)))*11)/factor_trimestre," - ")</f>
        <v>2.8205128205128203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-8.5585585585585586E-2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186</v>
      </c>
      <c r="AD13" s="899">
        <f t="shared" si="1"/>
        <v>0</v>
      </c>
      <c r="AE13" s="899">
        <f t="shared" si="1"/>
        <v>0</v>
      </c>
      <c r="AF13" s="899">
        <f t="shared" si="1"/>
        <v>1</v>
      </c>
      <c r="AG13" s="899">
        <f t="shared" si="1"/>
        <v>0</v>
      </c>
      <c r="AH13" s="899">
        <f t="shared" si="1"/>
        <v>1</v>
      </c>
      <c r="AI13" s="899">
        <f t="shared" si="1"/>
        <v>0</v>
      </c>
      <c r="AJ13" s="899">
        <f t="shared" si="1"/>
        <v>0</v>
      </c>
      <c r="AK13" s="899">
        <f t="shared" si="1"/>
        <v>0</v>
      </c>
      <c r="AL13" s="899">
        <f t="shared" si="1"/>
        <v>0</v>
      </c>
      <c r="AM13" s="899">
        <f t="shared" si="1"/>
        <v>203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308</v>
      </c>
      <c r="BD13" s="899">
        <f t="shared" si="1"/>
        <v>138</v>
      </c>
      <c r="BE13" s="899">
        <f t="shared" si="1"/>
        <v>0</v>
      </c>
      <c r="BF13" s="899">
        <f t="shared" si="1"/>
        <v>0</v>
      </c>
      <c r="BG13" s="899">
        <f>IF(ISNUMBER(Datos!K13/Datos!J13),Datos!K13/Datos!J13," - ")</f>
        <v>0.96607431340872374</v>
      </c>
      <c r="BH13" s="903">
        <f>IF(ISNUMBER(((Datos!L13/Datos!K13)*11)/factor_trimestre),((Datos!L13/Datos!K13)*11)/factor_trimestre," - ")</f>
        <v>2.9431438127090299</v>
      </c>
      <c r="BI13" s="899">
        <f>IF(ISNUMBER('Resol  Asuntos'!D13/NºAsuntos!G13),'Resol  Asuntos'!D13/NºAsuntos!G13," - ")</f>
        <v>0.49122807017543857</v>
      </c>
      <c r="BJ13" s="899" t="str">
        <f>IF(ISNUMBER(Datos!CI13/Datos!CJ13),Datos!CI13/Datos!CJ13," - ")</f>
        <v xml:space="preserve"> - </v>
      </c>
      <c r="BK13" s="899">
        <f>SUBTOTAL(9,BK8:BK12)</f>
        <v>0</v>
      </c>
      <c r="BL13" s="899" t="str">
        <f>IF(ISNUMBER((I13-AB13+L13)/(F13)),(I13-AB13+L13)/(F13)," - ")</f>
        <v xml:space="preserve"> - </v>
      </c>
      <c r="BM13" s="904">
        <f>SUBTOTAL(9,BM9:BM12)</f>
        <v>-8.5585585585585586E-2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223</v>
      </c>
      <c r="G16" s="598">
        <f>IF(ISNUMBER(IF(D_I="SI",Datos!I16,Datos!I16+Datos!AC16)),IF(D_I="SI",Datos!I16,Datos!I16+Datos!AC16)," - ")</f>
        <v>203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412</v>
      </c>
      <c r="AC16" s="226">
        <f>IF(ISNUMBER(Datos!Q16),Datos!Q16," - ")</f>
        <v>27</v>
      </c>
      <c r="AD16" s="334"/>
      <c r="AE16" s="484"/>
      <c r="AF16" s="596">
        <f>IF(ISNUMBER(IF(D_I="SI",Datos!L16,Datos!L16+Datos!AF16)),IF(D_I="SI",Datos!L16,Datos!L16+Datos!AF16)," - ")</f>
        <v>186</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123</v>
      </c>
      <c r="BD16" s="229">
        <f>IF(ISNUMBER(Datos!N16),Datos!N16," - ")</f>
        <v>147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1.0986666666666667</v>
      </c>
      <c r="BH16" s="260">
        <f>IF(ISNUMBER(((IF(D_I="SI",Datos!L16/Datos!K16,(Datos!L16+Datos!AF16)/(Datos!K16+Datos!AE16)))*11)/factor_trimestre),((IF(D_I="SI",Datos!L16/Datos!K16,(Datos!L16+Datos!AF16)/(Datos!K16+Datos!AE16)))*11)/factor_trimestre," - ")</f>
        <v>4.9660194174757279</v>
      </c>
      <c r="BI16" s="243">
        <f>IF(ISNUMBER('Resol  Asuntos'!D16/NºAsuntos!G16),'Resol  Asuntos'!D16/NºAsuntos!G16," - ")</f>
        <v>0.29854368932038833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5.5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223</v>
      </c>
      <c r="G18" s="898">
        <f>SUBTOTAL(9,G15:G17)</f>
        <v>205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420</v>
      </c>
      <c r="AC18" s="899">
        <f t="shared" si="4"/>
        <v>27</v>
      </c>
      <c r="AD18" s="899">
        <f t="shared" si="4"/>
        <v>0</v>
      </c>
      <c r="AE18" s="899">
        <f t="shared" si="4"/>
        <v>0</v>
      </c>
      <c r="AF18" s="899">
        <f t="shared" si="4"/>
        <v>190</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157</v>
      </c>
      <c r="BE18" s="899">
        <f t="shared" si="4"/>
        <v>0</v>
      </c>
      <c r="BF18" s="899">
        <f t="shared" si="4"/>
        <v>0</v>
      </c>
      <c r="BG18" s="899">
        <f>IF(ISNUMBER(Datos!K18/Datos!J18),Datos!K18/Datos!J18," - ")</f>
        <v>1.0909090909090908</v>
      </c>
      <c r="BH18" s="903">
        <f>IF(ISNUMBER(((Datos!L18/Datos!K18)*11)/factor_trimestre),((Datos!L18/Datos!K18)*11)/factor_trimestre," - ")</f>
        <v>4.9761904761904763</v>
      </c>
      <c r="BI18" s="899">
        <f>SUBTOTAL(9,BI15:BI17)</f>
        <v>0.42354368932038833</v>
      </c>
      <c r="BJ18" s="899">
        <f>SUBTOTAL(9,BJ15:BJ17)</f>
        <v>0</v>
      </c>
      <c r="BK18" s="899">
        <f>SUBTOTAL(9,BK15:BK17)</f>
        <v>0</v>
      </c>
      <c r="BL18" s="899">
        <f>IF(ISNUMBER((I18-AB18+L18)/(F18)),(I18-AB18+L18)/(F18)," - ")</f>
        <v>-1.883408071748879</v>
      </c>
      <c r="BM18" s="905">
        <f>IF(ISNUMBER((Datos!P18-Datos!Q18)/(Datos!R18-Datos!P18+Datos!Q18)),(Datos!P18-Datos!Q18)/(Datos!R18-Datos!P18+Datos!Q18)," - ")</f>
        <v>-0.15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223</v>
      </c>
      <c r="G19" s="820">
        <f t="shared" si="6"/>
        <v>205</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423</v>
      </c>
      <c r="AC19" s="821">
        <f t="shared" si="7"/>
        <v>213</v>
      </c>
      <c r="AD19" s="821">
        <f t="shared" si="7"/>
        <v>0</v>
      </c>
      <c r="AE19" s="821">
        <f t="shared" si="7"/>
        <v>0</v>
      </c>
      <c r="AF19" s="828">
        <f t="shared" si="7"/>
        <v>191</v>
      </c>
      <c r="AG19" s="828">
        <f t="shared" si="7"/>
        <v>0</v>
      </c>
      <c r="AH19" s="828">
        <f t="shared" si="7"/>
        <v>1</v>
      </c>
      <c r="AI19" s="828">
        <f t="shared" si="7"/>
        <v>0</v>
      </c>
      <c r="AJ19" s="821">
        <f t="shared" si="7"/>
        <v>0</v>
      </c>
      <c r="AK19" s="828">
        <f t="shared" si="7"/>
        <v>0</v>
      </c>
      <c r="AL19" s="828">
        <f t="shared" si="7"/>
        <v>0</v>
      </c>
      <c r="AM19" s="828">
        <f t="shared" si="7"/>
        <v>220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432</v>
      </c>
      <c r="BD19" s="820">
        <f t="shared" si="7"/>
        <v>295</v>
      </c>
      <c r="BE19" s="820">
        <f t="shared" si="7"/>
        <v>0</v>
      </c>
      <c r="BF19" s="830">
        <f t="shared" si="7"/>
        <v>0</v>
      </c>
      <c r="BG19" s="915">
        <f>IF(ISNUMBER(Datos!K19/Datos!J19),Datos!K19/Datos!J19," - ")</f>
        <v>1.0139442231075697</v>
      </c>
      <c r="BH19" s="915">
        <f>IF(ISNUMBER(((Datos!L19/Datos!K19)*11)/factor_trimestre),((Datos!L19/Datos!K19)*11)/factor_trimestre," - ")</f>
        <v>3.7819253438113951</v>
      </c>
      <c r="BI19" s="813">
        <f>IF(ISNUMBER(Datos!J19/Datos!I19),Datos!J19/Datos!I19," - ")</f>
        <v>2.9186046511627906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-1.8968609865470851</v>
      </c>
      <c r="BM19" s="889">
        <f>IF(ISNUMBER((Datos!P19-Datos!Q19+R19)/(Datos!R19-Datos!P19+Datos!Q19-R19)),(Datos!P19-Datos!Q19+R19)/(Datos!R19-Datos!P19+Datos!Q19-R19)," - ")</f>
        <v>-9.0909090909090912E-2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128.74911002928653</v>
      </c>
      <c r="G21" s="552">
        <f>IF(ISNUMBER(STDEV(G8:G18)),STDEV(G8:G18),"-")</f>
        <v>111.37549102024197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225.32354515229872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137.54562879277552</v>
      </c>
      <c r="BD21" s="551"/>
      <c r="BE21" s="551">
        <f>IF(ISNUMBER(STDEV(BE8:BE18)),STDEV(BE8:BE18),"-")</f>
        <v>0</v>
      </c>
      <c r="BF21" s="556">
        <f>IF(ISNUMBER(STDEV(BF8:BF18)),STDEV(BF8:BF18),"-")</f>
        <v>0</v>
      </c>
      <c r="BG21" s="775">
        <f>IF(ISNUMBER(STDEV(BG8:BG18)),STDEV(BG8:BG18),"-")</f>
        <v>0.14510556842383079</v>
      </c>
      <c r="BH21" s="776">
        <f>IF(ISNUMBER(STDEV(BH8:BH18)),STDEV(BH8:BH18),"-")</f>
        <v>1.1513906186350134</v>
      </c>
      <c r="BI21" s="249">
        <f>IF(ISNUMBER(STDEV(BI8:BI18)),STDEV(BI8:BI18),"-")</f>
        <v>0.16090944450156108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5ms9NCvP3grEOoh2QrV2teD/0cCq6bzZLi1WcnPMooRUj7uhRkg1kcNqwH4xcPd68mpSdG1vw28SUCWTyFcFMA==" saltValue="7FiY9fUkJOU/HgQuMOR1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CISTIERNA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3.6666666666666665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186</v>
      </c>
      <c r="AA12" s="332" t="str">
        <f>IF(ISNUMBER(IF(J_V="SI",Datos!L12,Datos!L12+Datos!AB12)-IF(Monitorios="SI",Datos!CD12,0)),
                          IF(J_V="SI",Datos!L12,Datos!L12+Datos!AB12)-IF(Monitorios="SI",Datos!CD12,0),
                          " - ")</f>
        <v xml:space="preserve"> - </v>
      </c>
      <c r="AB12" s="334"/>
      <c r="AC12" s="334"/>
      <c r="AD12" s="484"/>
      <c r="AE12" s="484">
        <f>IF(ISNUMBER(Datos!R12),Datos!R12," - ")</f>
        <v>203</v>
      </c>
      <c r="AF12" s="229" t="str">
        <f>IF(ISNUMBER(Datos!BV12),Datos!BV12," - ")</f>
        <v xml:space="preserve"> - </v>
      </c>
      <c r="AG12" s="225" t="str">
        <f>IF(ISNUMBER(Datos!DV12),Datos!DV12," - ")</f>
        <v xml:space="preserve"> - </v>
      </c>
      <c r="AH12" s="298"/>
      <c r="AI12" s="227"/>
      <c r="AJ12" s="225">
        <f>IF(ISNUMBER(Datos!M12),Datos!M12," - ")</f>
        <v>306</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2.8205128205128203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-8.5585585585585586E-2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186</v>
      </c>
      <c r="AA13" s="900">
        <f t="shared" si="2"/>
        <v>1</v>
      </c>
      <c r="AB13" s="900">
        <f t="shared" si="2"/>
        <v>0</v>
      </c>
      <c r="AC13" s="900">
        <f t="shared" si="2"/>
        <v>0</v>
      </c>
      <c r="AD13" s="900">
        <f t="shared" si="2"/>
        <v>0</v>
      </c>
      <c r="AE13" s="900">
        <f t="shared" si="2"/>
        <v>203</v>
      </c>
      <c r="AF13" s="908">
        <f t="shared" si="2"/>
        <v>0</v>
      </c>
      <c r="AG13" s="908">
        <f t="shared" si="2"/>
        <v>0</v>
      </c>
      <c r="AH13" s="908">
        <f t="shared" si="2"/>
        <v>0</v>
      </c>
      <c r="AI13" s="908">
        <f t="shared" si="2"/>
        <v>0</v>
      </c>
      <c r="AJ13" s="908">
        <f t="shared" si="2"/>
        <v>308</v>
      </c>
      <c r="AK13" s="908">
        <f t="shared" si="2"/>
        <v>138</v>
      </c>
      <c r="AL13" s="908">
        <f t="shared" si="2"/>
        <v>0</v>
      </c>
      <c r="AM13" s="908">
        <f t="shared" si="2"/>
        <v>0</v>
      </c>
      <c r="AN13" s="908">
        <f t="shared" si="2"/>
        <v>0</v>
      </c>
      <c r="AO13" s="904">
        <f>IF(ISNUMBER(((NºAsuntos!I13/NºAsuntos!G13)*11)/factor_trimestre),((NºAsuntos!I13/NºAsuntos!G13)*11)/factor_trimestre," - ")</f>
        <v>2.8245614035087723</v>
      </c>
      <c r="AP13" s="910" t="str">
        <f>IF(ISNUMBER(Datos!CI13/Datos!CJ13),Datos!CI13/Datos!CJ13," - ")</f>
        <v xml:space="preserve"> - </v>
      </c>
      <c r="AQ13" s="928">
        <f t="shared" ref="AQ13:AV13" si="3">SUBTOTAL(9,AQ9:AQ12)</f>
        <v>0</v>
      </c>
      <c r="AR13" s="928">
        <f t="shared" si="3"/>
        <v>-8.5585585585585586E-2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223</v>
      </c>
      <c r="G16" s="225">
        <f>IF(ISNUMBER(IF(D_I="SI",Datos!I16,Datos!I16+Datos!AC16)),IF(D_I="SI",Datos!I16,Datos!I16+Datos!AC16)," - ")</f>
        <v>203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412</v>
      </c>
      <c r="Z16" s="619">
        <f>IF(ISNUMBER(Datos!Q16),Datos!Q16," - ")</f>
        <v>27</v>
      </c>
      <c r="AA16" s="332">
        <f>IF(ISNUMBER(IF(D_I="SI",Datos!L16,Datos!L16+Datos!AF16)),IF(D_I="SI",Datos!L16,Datos!L16+Datos!AF16)," - ")</f>
        <v>186</v>
      </c>
      <c r="AB16" s="334"/>
      <c r="AC16" s="334"/>
      <c r="AD16" s="484"/>
      <c r="AE16" s="484">
        <f>IF(ISNUMBER(Datos!R16),Datos!R16," - ")</f>
        <v>17</v>
      </c>
      <c r="AF16" s="229" t="str">
        <f>IF(ISNUMBER(Datos!BV16),Datos!BV16," - ")</f>
        <v xml:space="preserve"> - </v>
      </c>
      <c r="AG16" s="225"/>
      <c r="AH16" s="298"/>
      <c r="AI16" s="227"/>
      <c r="AJ16" s="225">
        <f>IF(ISNUMBER(Datos!M16),Datos!M16," - ")</f>
        <v>123</v>
      </c>
      <c r="AK16" s="229">
        <f>IF(ISNUMBER(Datos!N16),Datos!N16," - ")</f>
        <v>147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4.9660194174757279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223</v>
      </c>
      <c r="G18" s="898">
        <f>SUBTOTAL(9,G15:G17)</f>
        <v>205</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420</v>
      </c>
      <c r="Z18" s="932">
        <f t="shared" si="5"/>
        <v>27</v>
      </c>
      <c r="AA18" s="932">
        <f t="shared" si="5"/>
        <v>190</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124</v>
      </c>
      <c r="AK18" s="932">
        <f t="shared" si="5"/>
        <v>157</v>
      </c>
      <c r="AL18" s="932">
        <f t="shared" si="5"/>
        <v>0</v>
      </c>
      <c r="AM18" s="932">
        <f t="shared" si="5"/>
        <v>0</v>
      </c>
      <c r="AN18" s="932">
        <f t="shared" si="5"/>
        <v>0</v>
      </c>
      <c r="AO18" s="934">
        <f>IF(ISNUMBER(((NºAsuntos!I18/NºAsuntos!G18)*11)/factor_trimestre),((NºAsuntos!I18/NºAsuntos!G18)*11)/factor_trimestre," - ")</f>
        <v>4.9761904761904763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223</v>
      </c>
      <c r="G19" s="820">
        <f t="shared" si="7"/>
        <v>205</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423</v>
      </c>
      <c r="Z19" s="827">
        <f t="shared" si="8"/>
        <v>213</v>
      </c>
      <c r="AA19" s="828">
        <f t="shared" si="8"/>
        <v>191</v>
      </c>
      <c r="AB19" s="828">
        <f t="shared" si="8"/>
        <v>0</v>
      </c>
      <c r="AC19" s="828">
        <f t="shared" si="8"/>
        <v>0</v>
      </c>
      <c r="AD19" s="829">
        <f t="shared" si="8"/>
        <v>0</v>
      </c>
      <c r="AE19" s="829">
        <f t="shared" si="8"/>
        <v>220</v>
      </c>
      <c r="AF19" s="830">
        <f t="shared" si="8"/>
        <v>0</v>
      </c>
      <c r="AG19" s="831">
        <f t="shared" si="8"/>
        <v>0</v>
      </c>
      <c r="AH19" s="832">
        <f t="shared" si="8"/>
        <v>0</v>
      </c>
      <c r="AI19" s="830">
        <f t="shared" si="8"/>
        <v>0</v>
      </c>
      <c r="AJ19" s="820">
        <f t="shared" si="8"/>
        <v>432</v>
      </c>
      <c r="AK19" s="820">
        <f t="shared" si="8"/>
        <v>295</v>
      </c>
      <c r="AL19" s="820">
        <f t="shared" si="8"/>
        <v>0</v>
      </c>
      <c r="AM19" s="833">
        <f t="shared" si="8"/>
        <v>0</v>
      </c>
      <c r="AN19" s="823">
        <f>IF(ISNUMBER(Datos!K19/Datos!J19),Datos!K19/Datos!J19," - ")</f>
        <v>1.0139442231075697</v>
      </c>
      <c r="AO19" s="823">
        <f>IF(ISNUMBER(FIND("06",Criterios!A8,1)),(IF(ISNUMBER(((Datos!R19/Datos!Q19)*11)/factor_trimestre),((Datos!R19/Datos!Q19)*11)/factor_trimestre," - ")),(IF(ISNUMBER(((Datos!L19/Datos!K19)*11)/factor_trimestre),((Datos!L19/Datos!K19)*11)/factor_trimestre," - ")))</f>
        <v>3.7819253438113951</v>
      </c>
      <c r="AP19" s="834" t="str">
        <f>IF(ISNUMBER(Datos!CI19/Datos!CJ19),Datos!CI19/Datos!CJ19," - ")</f>
        <v xml:space="preserve"> - </v>
      </c>
      <c r="AQ19" s="834">
        <f>IF(OR(ISNUMBER(FIND("01",Criterios!A8,1)),ISNUMBER(FIND("02",Criterios!A8,1)),ISNUMBER(FIND("03",Criterios!A8,1)),ISNUMBER(FIND("04",Criterios!A8,1))),(J19-Y19+K19)/(F19-K19),(I19-Y19+K19)/(F19-K19))</f>
        <v>-1.8968609865470851</v>
      </c>
      <c r="AR19" s="834">
        <f>IF(ISNUMBER((Datos!P19-Datos!Q19+O19)/(Datos!R19-Datos!P19+Datos!Q19-O19)),(Datos!P19-Datos!Q19+O19)/(Datos!R19-Datos!P19+Datos!Q19-O19)," - ")</f>
        <v>-9.0909090909090912E-2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128.74911002928653</v>
      </c>
      <c r="G21" s="552">
        <f>IF(ISNUMBER(STDEV(G8:G18)),STDEV(G8:G18),"-")</f>
        <v>111.37549102024197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137.54562879277552</v>
      </c>
      <c r="AK21" s="252"/>
      <c r="AL21" s="252">
        <f>IF(ISNUMBER(STDEV(AL8:AL18)),STDEV(AL8:AL18),"-")</f>
        <v>0</v>
      </c>
      <c r="AM21" s="254">
        <f>IF(ISNUMBER(STDEV(AM8:AM18)),STDEV(AM8:AM18),"-")</f>
        <v>0</v>
      </c>
      <c r="AN21" s="539">
        <f>IF(ISNUMBER(STDEV(AN8:AN18)),STDEV(AN8:AN18),"-")</f>
        <v>0</v>
      </c>
      <c r="AO21" s="540">
        <f>IF(ISNUMBER(STDEV(AO8:AO18)),STDEV(AO8:AO18),"-")</f>
        <v>1.1768906554998206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Ur1OVOfNw3gqr0bz9d4zE8Qg1RdGck5NOC6KsozwvagOyj1lJY1Pf6cn21/P/IKJWX2KMpaSk858g61VrttFg==" saltValue="fDfuz7kPQNJfQmRhdiD+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BVYCr5ahhMvpPTNg2aZg4nmY8c/K/OI3kX5YGGwNJYXkaA0voiN3mEriukLMLKrrbchLXeRuhB7lo2WIqI/mA==" saltValue="Av/7OUV4dXPzVNqog2EV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qlnDMuyluaNd1GIclQWlFxR1sJNhdjMA2mgIFr1hBRS9yEfXl7/njq0thM5pEaV8kEGOTn/rEwz8G8xDwAcw==" saltValue="C16EeE4PLWJetDF11qD8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0.49122807017543857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0.34735069953023384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F6FImE9UyiwowDxA06iA7wRGO4OEszjJOcv5yTU415xfhxwHM5yde51KtpfTehLs3UmG6YLZ9zG2JQgj5MCng==" saltValue="GzcotUW8Jt7IKXx/rmMd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QhXosvSpF3eLjTFmiBukaObl6QPVOtoQFq9ByU4OjiSXyycEKho3WxQzH1W6j7lQ25r4K3fyakatph25oO7aw==" saltValue="3yNfIfktglv2nXCxseW4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CISTIERNA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3</v>
      </c>
      <c r="H10" s="404">
        <f>IF(ISNUMBER(G10/B10),G10/B10," - ")</f>
        <v>3</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144</v>
      </c>
      <c r="D12" s="404">
        <f>IF(ISNUMBER(C12/Datos!BH12),C12/Datos!BH12," - ")</f>
        <v>144</v>
      </c>
      <c r="E12" s="403">
        <f>IF(ISNUMBER(IF(J_V="SI",Datos!J12,Datos!J12+Datos!Z12)),IF(J_V="SI",Datos!J12,Datos!J12+Datos!Z12)," - ")</f>
        <v>640</v>
      </c>
      <c r="F12" s="404">
        <f>IF(ISNUMBER(E12/B12),E12/B12," - ")</f>
        <v>640</v>
      </c>
      <c r="G12" s="403">
        <f>IF(ISNUMBER(IF(J_V="SI",Datos!K12,Datos!K12+Datos!AA12)),IF(J_V="SI",Datos!K12,Datos!K12+Datos!AA12)," - ")</f>
        <v>624</v>
      </c>
      <c r="H12" s="404">
        <f>IF(ISNUMBER(G12/B12),G12/B12," - ")</f>
        <v>624</v>
      </c>
      <c r="I12" s="403">
        <f>IF(ISNUMBER(IF(J_V="SI",Datos!L12,Datos!L12+Datos!AB12)),IF(J_V="SI",Datos!L12,Datos!L12+Datos!AB12)," - ")</f>
        <v>160</v>
      </c>
      <c r="J12" s="404">
        <f>IF(ISNUMBER(I12/B12),I12/B12," - ")</f>
        <v>160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144</v>
      </c>
      <c r="D13" s="850" t="str">
        <f>IF(ISNUMBER(C13/Datos!BI13),C13/Datos!BI13," - ")</f>
        <v xml:space="preserve"> - </v>
      </c>
      <c r="E13" s="849">
        <f>SUBTOTAL(9,E8:E12)</f>
        <v>644</v>
      </c>
      <c r="F13" s="850">
        <f>IF(ISNUMBER(E13/B13),E13/B13," - ")</f>
        <v>644</v>
      </c>
      <c r="G13" s="849">
        <f>SUBTOTAL(9,G8:G12)</f>
        <v>627</v>
      </c>
      <c r="H13" s="850">
        <f>IF(ISNUMBER(G13/B13),G13/B13," - ")</f>
        <v>627</v>
      </c>
      <c r="I13" s="849">
        <f>SUBTOTAL(9,I8:I12)</f>
        <v>161</v>
      </c>
      <c r="J13" s="850">
        <f>IF(ISNUMBER(I13/B13),I13/B13," - ")</f>
        <v>161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203</v>
      </c>
      <c r="D16" s="404">
        <f>IF(ISNUMBER(C16/Datos!BH16),C16/Datos!BH16," - ")</f>
        <v>203</v>
      </c>
      <c r="E16" s="403">
        <f>IF(ISNUMBER(IF(D_I="SI",Datos!J16,Datos!J16+Datos!AD16)),IF(D_I="SI",Datos!J16,Datos!J16+Datos!AD16)," - ")</f>
        <v>375</v>
      </c>
      <c r="F16" s="404">
        <f>IF(ISNUMBER(E16/B16),E16/B16," - ")</f>
        <v>375</v>
      </c>
      <c r="G16" s="403">
        <f>IF(ISNUMBER(IF(D_I="SI",Datos!K16,Datos!K16+Datos!AE16)),IF(D_I="SI",Datos!K16,Datos!K16+Datos!AE16)," - ")</f>
        <v>412</v>
      </c>
      <c r="H16" s="404">
        <f>IF(ISNUMBER(G16/B16),G16/B16," - ")</f>
        <v>412</v>
      </c>
      <c r="I16" s="403">
        <f>IF(ISNUMBER(IF(D_I="SI",Datos!L16,Datos!L16+Datos!AF16)),IF(D_I="SI",Datos!L16,Datos!L16+Datos!AF16)," - ")</f>
        <v>186</v>
      </c>
      <c r="J16" s="404">
        <f>IF(ISNUMBER(I16/B16),I16/B16," - ")</f>
        <v>186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10</v>
      </c>
      <c r="F17" s="404">
        <f>IF(ISNUMBER(E17/B17),E17/B17," - ")</f>
        <v>10</v>
      </c>
      <c r="G17" s="403">
        <f>IF(ISNUMBER(IF(D_I="SI",Datos!K17,Datos!K17+Datos!AE17)),IF(D_I="SI",Datos!K17,Datos!K17+Datos!AE17)," - ")</f>
        <v>8</v>
      </c>
      <c r="H17" s="404">
        <f>IF(ISNUMBER(G17/B17),G17/B17," - ")</f>
        <v>8</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205</v>
      </c>
      <c r="D18" s="850" t="str">
        <f>IF(ISNUMBER(C18/Datos!BI18),C18/Datos!BI18," - ")</f>
        <v xml:space="preserve"> - </v>
      </c>
      <c r="E18" s="849">
        <f>SUBTOTAL(9,E14:E17)</f>
        <v>385</v>
      </c>
      <c r="F18" s="850">
        <f>IF(ISNUMBER(E18/B18),E18/B18," - ")</f>
        <v>385</v>
      </c>
      <c r="G18" s="849">
        <f>SUBTOTAL(9,G14:G17)</f>
        <v>420</v>
      </c>
      <c r="H18" s="850">
        <f>IF(ISNUMBER(G18/B18),G18/B18," - ")</f>
        <v>420</v>
      </c>
      <c r="I18" s="849">
        <f>SUBTOTAL(9,I14:I17)</f>
        <v>190</v>
      </c>
      <c r="J18" s="850">
        <f>IF(ISNUMBER(I18/B18),I18/B18," - ")</f>
        <v>190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349</v>
      </c>
      <c r="D19" s="795" t="str">
        <f>IF(ISNUMBER(C19/Datos!BI19),C19/Datos!BI19," - ")</f>
        <v xml:space="preserve"> - </v>
      </c>
      <c r="E19" s="794">
        <f>SUBTOTAL(9,E9:E18)</f>
        <v>1029</v>
      </c>
      <c r="F19" s="795">
        <f>IF(ISNUMBER(E19/B19),E19/B19," - ")</f>
        <v>1029</v>
      </c>
      <c r="G19" s="794">
        <f>SUBTOTAL(9,G9:G18)</f>
        <v>1047</v>
      </c>
      <c r="H19" s="795">
        <f>IF(ISNUMBER(G19/B19),G19/B19," - ")</f>
        <v>1047</v>
      </c>
      <c r="I19" s="794">
        <f>SUBTOTAL(9,I9:I18)</f>
        <v>351</v>
      </c>
      <c r="J19" s="795">
        <f>IF(ISNUMBER(I19/B19),I19/B19," - ")</f>
        <v>351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JqxEMn7L8HN2DIubNcMnNKJ1dsO01bP7MNHPd2ifZhJUni9paHUEo7dY3XU/74kDfI8ue9j5YLdUg+NUwAOVw==" saltValue="zGIKlwpONtYhY7QdVlvH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CISTIERNA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306</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2.8205128205128203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-8.5585585585585586E-2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186</v>
      </c>
      <c r="AE13" s="939">
        <f t="shared" si="1"/>
        <v>0</v>
      </c>
      <c r="AF13" s="939">
        <f t="shared" si="1"/>
        <v>1</v>
      </c>
      <c r="AG13" s="939">
        <f t="shared" si="1"/>
        <v>0</v>
      </c>
      <c r="AH13" s="939">
        <f t="shared" si="1"/>
        <v>203</v>
      </c>
      <c r="AI13" s="939">
        <f t="shared" si="1"/>
        <v>0</v>
      </c>
      <c r="AJ13" s="939">
        <f t="shared" si="1"/>
        <v>0</v>
      </c>
      <c r="AK13" s="939">
        <f t="shared" si="1"/>
        <v>0</v>
      </c>
      <c r="AL13" s="939">
        <f t="shared" si="1"/>
        <v>308</v>
      </c>
      <c r="AM13" s="939">
        <f t="shared" si="1"/>
        <v>138</v>
      </c>
      <c r="AN13" s="939">
        <f t="shared" si="1"/>
        <v>0</v>
      </c>
      <c r="AO13" s="939">
        <f t="shared" si="1"/>
        <v>0</v>
      </c>
      <c r="AP13" s="944">
        <f>IF(ISNUMBER(((Datos!L13/Datos!K13)*11)/factor_trimestre),((Datos!L13/Datos!K13)*11)/factor_trimestre," - ")</f>
        <v>2.9431438127090299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-8.5585585585585586E-2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4.9761904761904763</v>
      </c>
      <c r="AQ18" s="944">
        <f>IF(ISNUMBER(((Datos!M18/Datos!L18)*11)/factor_trimestre),((Datos!M18/Datos!L18)*11)/factor_trimestre," - ")</f>
        <v>7.1789473684210527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v>
      </c>
      <c r="AW18" s="946">
        <f>IF(ISNUMBER((Datos!Q18-Datos!R18)/(Datos!S18-Datos!Q18+Datos!R18)),(Datos!Q18-Datos!R18)/(Datos!S18-Datos!Q18+Datos!R18)," - ")</f>
        <v>7.6335877862595422E-2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186</v>
      </c>
      <c r="AE19" s="957">
        <f t="shared" si="5"/>
        <v>0</v>
      </c>
      <c r="AF19" s="958">
        <f t="shared" si="5"/>
        <v>1</v>
      </c>
      <c r="AG19" s="958">
        <f t="shared" si="5"/>
        <v>0</v>
      </c>
      <c r="AH19" s="958">
        <f t="shared" si="5"/>
        <v>203</v>
      </c>
      <c r="AI19" s="958">
        <f t="shared" si="5"/>
        <v>0</v>
      </c>
      <c r="AJ19" s="959">
        <f t="shared" si="5"/>
        <v>0</v>
      </c>
      <c r="AK19" s="959">
        <f t="shared" si="5"/>
        <v>0</v>
      </c>
      <c r="AL19" s="951">
        <f t="shared" si="5"/>
        <v>308</v>
      </c>
      <c r="AM19" s="951">
        <f t="shared" si="5"/>
        <v>138</v>
      </c>
      <c r="AN19" s="951">
        <f t="shared" si="5"/>
        <v>0</v>
      </c>
      <c r="AO19" s="951">
        <f t="shared" si="5"/>
        <v>0</v>
      </c>
      <c r="AP19" s="951">
        <f>IF(ISNUMBER(((Datos!L19/Datos!K19)*11)/factor_trimestre),((Datos!L19/Datos!K19)*11)/factor_trimestre," - ")</f>
        <v>3.7819253438113951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-9.0909090909090912E-2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176.67295586289751</v>
      </c>
      <c r="AM21" s="736"/>
      <c r="AN21" s="736">
        <f>IF(ISNUMBER(STDEV(AN8:AN18)),STDEV(AN8:AN18),"-")</f>
        <v>0</v>
      </c>
      <c r="AO21" s="742">
        <f>IF(ISNUMBER(STDEV(AO8:AO18)),STDEV(AO8:AO18),"-")</f>
        <v>0</v>
      </c>
      <c r="AP21" s="779">
        <f>IF(ISNUMBER(STDEV(AP8:AP18)),STDEV(AP8:AP18),"-")</f>
        <v>0.98951071708014893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95SRMgdTffQF39QXJ8o9uQ5DoVbcs8gTCtEXKr82uQKZRoTTbRBkRXC0wFTF4JMZcVd4gF5dQODydXkDG26kA==" saltValue="H66Eb/5RhrwU65hQhfQh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CISTIERNA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3fM1kDeZ8d3eIe36r16ANoedeTVvEud3Y6NDTWZ6zUpBp0ivvQ+xhDXqBH4l5V0wKxZtnLi6ViJXk+Qi/mPHcw==" saltValue="5Xi/5l4WxP8OTxMFQzZN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CISTIERNA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306</v>
      </c>
      <c r="E12" s="404">
        <f t="shared" si="0"/>
        <v>306</v>
      </c>
      <c r="F12" s="403">
        <f>IF(ISNUMBER(Datos!N12),Datos!N12," - ")</f>
        <v>138</v>
      </c>
      <c r="G12" s="404">
        <f t="shared" si="1"/>
        <v>138</v>
      </c>
      <c r="H12" s="403">
        <f>IF(ISNUMBER(Datos!O12),Datos!O12," - ")</f>
        <v>149</v>
      </c>
      <c r="I12" s="404">
        <f t="shared" si="2"/>
        <v>149</v>
      </c>
      <c r="BZ12" s="1186">
        <f>Datos!EZ12</f>
        <v>0</v>
      </c>
    </row>
    <row r="13" spans="1:78" ht="14.25" thickTop="1" thickBot="1">
      <c r="A13" s="848" t="str">
        <f>Datos!A13</f>
        <v>TOTAL</v>
      </c>
      <c r="B13" s="849">
        <f>Datos!AP13</f>
        <v>1</v>
      </c>
      <c r="C13" s="851">
        <f>Datos!AR13</f>
        <v>1</v>
      </c>
      <c r="D13" s="849">
        <f>SUBTOTAL(9,D9:D12)</f>
        <v>308</v>
      </c>
      <c r="E13" s="850">
        <f t="shared" si="0"/>
        <v>308</v>
      </c>
      <c r="F13" s="849">
        <f>SUBTOTAL(9,F9:F12)</f>
        <v>138</v>
      </c>
      <c r="G13" s="850">
        <f t="shared" si="1"/>
        <v>138</v>
      </c>
      <c r="H13" s="849">
        <f>SUBTOTAL(9,H9:H12)</f>
        <v>149</v>
      </c>
      <c r="I13" s="850">
        <f>IF(ISNUMBER(H13/B13),H13/B13," - ")</f>
        <v>149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123</v>
      </c>
      <c r="E16" s="404">
        <f t="shared" si="3"/>
        <v>123</v>
      </c>
      <c r="F16" s="403">
        <f>IF(ISNUMBER(Datos!N16),Datos!N16," - ")</f>
        <v>147</v>
      </c>
      <c r="G16" s="404">
        <f t="shared" si="4"/>
        <v>147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124</v>
      </c>
      <c r="E18" s="850">
        <f t="shared" si="3"/>
        <v>124</v>
      </c>
      <c r="F18" s="849">
        <f>SUBTOTAL(9,F15:F17)</f>
        <v>157</v>
      </c>
      <c r="G18" s="850">
        <f t="shared" si="4"/>
        <v>157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432</v>
      </c>
      <c r="E19" s="795">
        <f>IF(ISNUMBER(D19/B19),D19/B19," - ")</f>
        <v>432</v>
      </c>
      <c r="F19" s="794">
        <f>SUBTOTAL(9,F8:F18)</f>
        <v>295</v>
      </c>
      <c r="G19" s="795">
        <f>IF(ISNUMBER(F19/B19),F19/B19," - ")</f>
        <v>295</v>
      </c>
      <c r="H19" s="794">
        <f>SUBTOTAL(9,H8:H18)</f>
        <v>149</v>
      </c>
      <c r="I19" s="795">
        <f>IF(ISNUMBER(H19/B19),H19/B19," - ")</f>
        <v>149</v>
      </c>
    </row>
    <row r="22" spans="1:78">
      <c r="A22" s="391" t="str">
        <f>Criterios!A4</f>
        <v>Fecha Informe: 28 feb. 2025</v>
      </c>
    </row>
    <row r="27" spans="1:78">
      <c r="A27" s="414"/>
    </row>
  </sheetData>
  <sheetProtection algorithmName="SHA-512" hashValue="xVZIayUk1qoaSKCItnf3kpGvsTiVhvl6H6cH3MrhkpCk6ybxxGKxSmuOTloKfxemq9SfvHib8jwxFUgavfMUwA==" saltValue="ba2X0vykf6Lz78/zwOHK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CISTIERNA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v>
      </c>
      <c r="C12" s="434">
        <f>IF(ISNUMBER(Datos!Q12),Datos!Q12," - ")</f>
        <v>186</v>
      </c>
      <c r="D12" s="408">
        <f>IF(ISNUMBER(Datos!R12),Datos!R12," - ")</f>
        <v>203</v>
      </c>
    </row>
    <row r="13" spans="1:4" ht="14.25" thickTop="1" thickBot="1">
      <c r="A13" s="848" t="str">
        <f>Datos!A13</f>
        <v>TOTAL</v>
      </c>
      <c r="B13" s="849">
        <f>SUBTOTAL(9,B9:B12)</f>
        <v>167</v>
      </c>
      <c r="C13" s="853">
        <f>SUBTOTAL(9,C9:C12)</f>
        <v>186</v>
      </c>
      <c r="D13" s="851">
        <f>SUBTOTAL(9,D9:D12)</f>
        <v>203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27</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27</v>
      </c>
      <c r="D18" s="851">
        <f>SUBTOTAL(9,D15:D17)</f>
        <v>17</v>
      </c>
    </row>
    <row r="19" spans="1:4" ht="16.5" customHeight="1" thickTop="1" thickBot="1">
      <c r="A19" s="793" t="str">
        <f>Datos!A19</f>
        <v>TOTAL JURISDICCIONES</v>
      </c>
      <c r="B19" s="798">
        <f>SUBTOTAL(9,B8:B18)</f>
        <v>191</v>
      </c>
      <c r="C19" s="799">
        <f>SUBTOTAL(9,C8:C18)</f>
        <v>213</v>
      </c>
      <c r="D19" s="800">
        <f>SUBTOTAL(9,D8:D18)</f>
        <v>220</v>
      </c>
    </row>
    <row r="20" spans="1:4" ht="7.5" customHeight="1"/>
    <row r="21" spans="1:4" ht="6" customHeight="1"/>
    <row r="22" spans="1:4">
      <c r="A22" s="391" t="str">
        <f>Criterios!A4</f>
        <v>Fecha Informe: 28 feb. 2025</v>
      </c>
    </row>
    <row r="27" spans="1:4">
      <c r="A27" s="414"/>
    </row>
  </sheetData>
  <sheetProtection algorithmName="SHA-512" hashValue="TG0R3oGlQnbBbyDY4knHaOjA6zUQkXveL109qTP0ie7QAAii9WO5c0wDmy9HQ3pKPprDVEMsyDVt2gkm4Od1/w==" saltValue="ZVNJqFpK4F3VjGeXvwOl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CISTIERNA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0.2413793103448276</v>
      </c>
      <c r="C12" s="456">
        <f>IF(ISNUMBER(
   IF(J_V="SI",(Datos!J12-Datos!T12)/Datos!T12,(Datos!J12+Datos!Z12-(Datos!T12+Datos!AH12))/(Datos!T12+Datos!AH12))
     ),IF(J_V="SI",(Datos!J12-Datos!T12)/Datos!T12,(Datos!J12+Datos!Z12-(Datos!T12+Datos!AH12))/(Datos!T12+Datos!AH12))," - ")</f>
        <v>0.5960099750623441</v>
      </c>
      <c r="D12" s="456">
        <f>IF(ISNUMBER(
   IF(J_V="SI",(Datos!K12-Datos!U12)/Datos!U12,(Datos!K12+Datos!AA12-(Datos!U12+Datos!AI12))/(Datos!U12+Datos!AI12))
     ),IF(J_V="SI",(Datos!K12-Datos!U12)/Datos!U12,(Datos!K12+Datos!AA12-(Datos!U12+Datos!AI12))/(Datos!U12+Datos!AI12))," - ")</f>
        <v>0.70027247956403271</v>
      </c>
      <c r="E12" s="456">
        <f>IF(ISNUMBER(
   IF(J_V="SI",(Datos!L12-Datos!V12)/Datos!V12,(Datos!L12+Datos!AB12-(Datos!V12+Datos!AJ12))/(Datos!V12+Datos!AJ12))
     ),IF(J_V="SI",(Datos!L12-Datos!V12)/Datos!V12,(Datos!L12+Datos!AB12-(Datos!V12+Datos!AJ12))/(Datos!V12+Datos!AJ12))," - ")</f>
        <v>0.1111111111111111</v>
      </c>
      <c r="F12" s="456">
        <f>IF(ISNUMBER((Datos!M12-Datos!W12)/Datos!W12),(Datos!M12-Datos!W12)/Datos!W12," - ")</f>
        <v>2.4</v>
      </c>
      <c r="G12" s="457">
        <f>IF(ISNUMBER((Datos!N12-Datos!X12)/Datos!X12),(Datos!N12-Datos!X12)/Datos!X12," - ")</f>
        <v>0.25454545454545452</v>
      </c>
      <c r="H12" s="455">
        <f>IF(ISNUMBER(((NºAsuntos!G12/NºAsuntos!E12)-Datos!BD12)/Datos!BD12),((NºAsuntos!G12/NºAsuntos!E12)-Datos!BD12)/Datos!BD12," - ")</f>
        <v>6.5326975476839272E-2</v>
      </c>
      <c r="I12" s="456">
        <f>IF(ISNUMBER(((NºAsuntos!I12/NºAsuntos!G12)-Datos!BE12)/Datos!BE12),((NºAsuntos!I12/NºAsuntos!G12)-Datos!BE12)/Datos!BE12," - ")</f>
        <v>-0.34650997150997159</v>
      </c>
      <c r="J12" s="461">
        <f>IF(ISNUMBER((('Resol  Asuntos'!D12/NºAsuntos!G12)-Datos!BF12)/Datos!BF12),(('Resol  Asuntos'!D12/NºAsuntos!G12)-Datos!BF12)/Datos!BF12," - ")</f>
        <v>0.63610139860139858</v>
      </c>
      <c r="K12" s="462">
        <f>IF(ISNUMBER((((NºAsuntos!C12+NºAsuntos!E12)/NºAsuntos!G12)-Datos!BG12)/Datos!BG12),(((NºAsuntos!C12+NºAsuntos!E12)/NºAsuntos!G12)-Datos!BG12)/Datos!BG12," - ")</f>
        <v>-0.10811883152308688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0.2413793103448276</v>
      </c>
      <c r="C13" s="855">
        <f>IF(ISNUMBER(
   IF(J_V="SI",(Datos!J13-Datos!T13)/Datos!T13,(Datos!J13+Datos!Z13-(Datos!T13+Datos!AH13))/(Datos!T13+Datos!AH13))
     ),IF(J_V="SI",(Datos!J13-Datos!T13)/Datos!T13,(Datos!J13+Datos!Z13-(Datos!T13+Datos!AH13))/(Datos!T13+Datos!AH13))," - ")</f>
        <v>0.6059850374064838</v>
      </c>
      <c r="D13" s="855">
        <f>IF(ISNUMBER(
   IF(J_V="SI",(Datos!K13-Datos!U13)/Datos!U13,(Datos!K13+Datos!AA13-(Datos!U13+Datos!AI13))/(Datos!U13+Datos!AI13))
     ),IF(J_V="SI",(Datos!K13-Datos!U13)/Datos!U13,(Datos!K13+Datos!AA13-(Datos!U13+Datos!AI13))/(Datos!U13+Datos!AI13))," - ")</f>
        <v>0.70844686648501365</v>
      </c>
      <c r="E13" s="855">
        <f>IF(ISNUMBER(
   IF(J_V="SI",(Datos!L13-Datos!V13)/Datos!V13,(Datos!L13+Datos!AB13-(Datos!V13+Datos!AJ13))/(Datos!V13+Datos!AJ13))
     ),IF(J_V="SI",(Datos!L13-Datos!V13)/Datos!V13,(Datos!L13+Datos!AB13-(Datos!V13+Datos!AJ13))/(Datos!V13+Datos!AJ13))," - ")</f>
        <v>0.11805555555555555</v>
      </c>
      <c r="F13" s="856">
        <f>IF(ISNUMBER((Datos!M13-Datos!W13)/Datos!W13),(Datos!M13-Datos!W13)/Datos!W13," - ")</f>
        <v>2.4222222222222221</v>
      </c>
      <c r="G13" s="857">
        <f>IF(ISNUMBER((Datos!N13-Datos!X13)/Datos!X13),(Datos!N13-Datos!X13)/Datos!X13," - ")</f>
        <v>0.25454545454545452</v>
      </c>
      <c r="H13" s="857">
        <f>IF(ISNUMBER(((NºAsuntos!G13/NºAsuntos!E13)-Datos!BD13)/Datos!BD13),((NºAsuntos!G13/NºAsuntos!E13)-Datos!BD13)/Datos!BD13," - ")</f>
        <v>6.3799989845482116E-2</v>
      </c>
      <c r="I13" s="857">
        <f>IF(ISNUMBER(((NºAsuntos!I13/NºAsuntos!G13)-Datos!BE13)/Datos!BE13),((NºAsuntos!I13/NºAsuntos!G13)-Datos!BE13)/Datos!BE13," - ")</f>
        <v>-0.3455719475456317</v>
      </c>
      <c r="J13" s="857">
        <f>IF(ISNUMBER((('Resol  Asuntos'!D13/NºAsuntos!G13)-Datos!BF13)/Datos!BF13),(('Resol  Asuntos'!D13/NºAsuntos!G13)-Datos!BF13)/Datos!BF13," - ")</f>
        <v>0.63891547049441788</v>
      </c>
      <c r="K13" s="857">
        <f>IF(ISNUMBER((((NºAsuntos!C13+NºAsuntos!E13)/NºAsuntos!G13)-Datos!BG13)/Datos!BG13),(((NºAsuntos!C13+NºAsuntos!E13)/NºAsuntos!G13)-Datos!BG13)/Datos!BG13," - ")</f>
        <v>-0.10785756372644294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v>
      </c>
      <c r="C16" s="456">
        <f>IF(ISNUMBER(
   IF(D_I="SI",(Datos!J16-Datos!T16)/Datos!T16,(Datos!J16+Datos!AD16-(Datos!T16+Datos!AL16))/(Datos!T16+Datos!AL16))
     ),IF(D_I="SI",(Datos!J16-Datos!T16)/Datos!T16,(Datos!J16+Datos!AD16-(Datos!T16+Datos!AL16))/(Datos!T16+Datos!AL16))," - ")</f>
        <v>8.6956521739130432E-2</v>
      </c>
      <c r="D16" s="456">
        <f>IF(ISNUMBER(
   IF(D_I="SI",(Datos!K16-Datos!U16)/Datos!U16,(Datos!K16+Datos!AE16-(Datos!U16+Datos!AM16))/(Datos!U16+Datos!AM16))
     ),IF(D_I="SI",(Datos!K16-Datos!U16)/Datos!U16,(Datos!K16+Datos!AE16-(Datos!U16+Datos!AM16))/(Datos!U16+Datos!AM16))," - ")</f>
        <v>0.46099290780141844</v>
      </c>
      <c r="E16" s="456">
        <f>IF(ISNUMBER(
   IF(D_I="SI",(Datos!L16-Datos!V16)/Datos!V16,(Datos!L16+Datos!AF16-(Datos!V16+Datos!AN16))/(Datos!V16+Datos!AN16))
     ),IF(D_I="SI",(Datos!L16-Datos!V16)/Datos!V16,(Datos!L16+Datos!AF16-(Datos!V16+Datos!AN16))/(Datos!V16+Datos!AN16))," - ")</f>
        <v>-8.3743842364532015E-2</v>
      </c>
      <c r="F16" s="456">
        <f>IF(ISNUMBER((Datos!M16-Datos!W16)/Datos!W16),(Datos!M16-Datos!W16)/Datos!W16," - ")</f>
        <v>1.510204081632653</v>
      </c>
      <c r="G16" s="457">
        <f>IF(ISNUMBER((Datos!N16-Datos!X16)/Datos!X16),(Datos!N16-Datos!X16)/Datos!X16," - ")</f>
        <v>5.7553956834532377E-2</v>
      </c>
      <c r="H16" s="455">
        <f>IF(ISNUMBER(((NºAsuntos!G16/NºAsuntos!E16)-Datos!BD16)/Datos!BD16),((NºAsuntos!G16/NºAsuntos!E16)-Datos!BD16)/Datos!BD16," - ")</f>
        <v>0.34411347517730489</v>
      </c>
      <c r="I16" s="456">
        <f>IF(ISNUMBER(((NºAsuntos!I16/NºAsuntos!G16)-Datos!BE16)/Datos!BE16),((NºAsuntos!I16/NºAsuntos!G16)-Datos!BE16)/Datos!BE16," - ")</f>
        <v>-0.37285379501650001</v>
      </c>
      <c r="J16" s="461">
        <f>IF(ISNUMBER((('Resol  Asuntos'!D16/NºAsuntos!G16)-Datos!BF16)/Datos!BF16),(('Resol  Asuntos'!D16/NºAsuntos!G16)-Datos!BF16)/Datos!BF16," - ")</f>
        <v>0.71814939568060221</v>
      </c>
      <c r="K16" s="462">
        <f>IF(ISNUMBER((((NºAsuntos!C16+NºAsuntos!E16)/NºAsuntos!G16)-Datos!BG16)/Datos!BG16),(((NºAsuntos!C16+NºAsuntos!E16)/NºAsuntos!G16)-Datos!BG16)/Datos!BG16," - ")</f>
        <v>-0.18428585727154437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-0.375</v>
      </c>
      <c r="D17" s="456">
        <f>IF(ISNUMBER(
   IF(D_I="SI",(Datos!K17-Datos!U17)/Datos!U17,(Datos!K17+Datos!AE17-(Datos!U17+Datos!AM17))/(Datos!U17+Datos!AM17))
     ),IF(D_I="SI",(Datos!K17-Datos!U17)/Datos!U17,(Datos!K17+Datos!AE17-(Datos!U17+Datos!AM17))/(Datos!U17+Datos!AM17))," - ")</f>
        <v>-0.46666666666666667</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-0.14666666666666661</v>
      </c>
      <c r="I17" s="456">
        <f>IF(ISNUMBER(((NºAsuntos!I17/NºAsuntos!G17)-Datos!BE17)/Datos!BE17),((NºAsuntos!I17/NºAsuntos!G17)-Datos!BE17)/Datos!BE17," - ")</f>
        <v>2.7500000000000004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0.3235294117647059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0.45390070921985815</v>
      </c>
      <c r="C18" s="855">
        <f>IF(ISNUMBER(
   IF(Criterios!B14="SI",(Datos!J18-Datos!T18)/Datos!T18,(Datos!J18+Datos!AD18-(Datos!T18+Datos!AL18))/(Datos!T18+Datos!AL18))
     ),IF(Criterios!B14="SI",(Datos!J18-Datos!T18)/Datos!T18,(Datos!J18+Datos!AD18-(Datos!T18+Datos!AL18))/(Datos!T18+Datos!AL18))," - ")</f>
        <v>6.6481994459833799E-2</v>
      </c>
      <c r="D18" s="855">
        <f>IF(ISNUMBER(
   IF(Criterios!B14="SI",(Datos!K18-Datos!U18)/Datos!U18,(Datos!K18+Datos!AE18-(Datos!U18+Datos!AM18))/(Datos!U18+Datos!AM18))
     ),IF(Criterios!B14="SI",(Datos!K18-Datos!U18)/Datos!U18,(Datos!K18+Datos!AE18-(Datos!U18+Datos!AM18))/(Datos!U18+Datos!AM18))," - ")</f>
        <v>0.41414141414141414</v>
      </c>
      <c r="E18" s="855">
        <f>IF(ISNUMBER(
   IF(Criterios!B14="SI",(Datos!L18-Datos!V18)/Datos!V18,(Datos!L18+Datos!AF18-(Datos!V18+Datos!AN18))/(Datos!V18+Datos!AN18))
     ),IF(Criterios!B14="SI",(Datos!L18-Datos!V18)/Datos!V18,(Datos!L18+Datos!AF18-(Datos!V18+Datos!AN18))/(Datos!V18+Datos!AN18))," - ")</f>
        <v>-7.3170731707317069E-2</v>
      </c>
      <c r="F18" s="856">
        <f>IF(ISNUMBER((Datos!M18-Datos!W18)/Datos!W18),(Datos!M18-Datos!W18)/Datos!W18," - ")</f>
        <v>1.5306122448979591</v>
      </c>
      <c r="G18" s="857">
        <f>IF(ISNUMBER((Datos!N18-Datos!X18)/Datos!X18),(Datos!N18-Datos!X18)/Datos!X18," - ")</f>
        <v>4.6666666666666669E-2</v>
      </c>
      <c r="H18" s="857">
        <f>IF(ISNUMBER(((NºAsuntos!G18/NºAsuntos!E18)-Datos!BD18)/Datos!BD18),((NºAsuntos!G18/NºAsuntos!E18)-Datos!BD18)/Datos!BD18," - ")</f>
        <v>0.32598714416896218</v>
      </c>
      <c r="I18" s="857">
        <f>IF(ISNUMBER(((NºAsuntos!I18/NºAsuntos!G18)-Datos!BE18)/Datos!BE18),((NºAsuntos!I18/NºAsuntos!G18)-Datos!BE18)/Datos!BE18," - ")</f>
        <v>-0.34459930313588849</v>
      </c>
      <c r="J18" s="857">
        <f>IF(ISNUMBER((('Resol  Asuntos'!D18/NºAsuntos!G18)-Datos!BF18)/Datos!BF18),(('Resol  Asuntos'!D18/NºAsuntos!G18)-Datos!BF18)/Datos!BF18," - ")</f>
        <v>0.78950437317784261</v>
      </c>
      <c r="K18" s="857">
        <f>IF(ISNUMBER((((NºAsuntos!C18+NºAsuntos!E18)/NºAsuntos!G18)-Datos!BG18)/Datos!BG18),(((NºAsuntos!C18+NºAsuntos!E18)/NºAsuntos!G18)-Datos!BG18)/Datos!BG18," - ")</f>
        <v>-0.168895845190666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0.35797665369649806</v>
      </c>
      <c r="C19" s="802">
        <f>IF(ISNUMBER(
   IF(J_V="SI",(Datos!J19-Datos!T19)/Datos!T19,(Datos!J19+Datos!Z19-(Datos!T19+Datos!AH19))/(Datos!T19+Datos!AH19))
     ),IF(J_V="SI",(Datos!J19-Datos!T19)/Datos!T19,(Datos!J19+Datos!Z19-(Datos!T19+Datos!AH19))/(Datos!T19+Datos!AH19))," - ")</f>
        <v>0.35039370078740156</v>
      </c>
      <c r="D19" s="802">
        <f>IF(ISNUMBER(
   IF(J_V="SI",(Datos!K19-Datos!U19)/Datos!U19,(Datos!K19+Datos!AA19-(Datos!U19+Datos!AI19))/(Datos!U19+Datos!AI19))
     ),IF(J_V="SI",(Datos!K19-Datos!U19)/Datos!U19,(Datos!K19+Datos!AA19-(Datos!U19+Datos!AI19))/(Datos!U19+Datos!AI19))," - ")</f>
        <v>0.57680722891566261</v>
      </c>
      <c r="E19" s="802">
        <f>IF(ISNUMBER(
   IF(J_V="SI",(Datos!L19-Datos!V19)/Datos!V19,(Datos!L19+Datos!AB19-(Datos!V19+Datos!AJ19))/(Datos!V19+Datos!AJ19))
     ),IF(J_V="SI",(Datos!L19-Datos!V19)/Datos!V19,(Datos!L19+Datos!AB19-(Datos!V19+Datos!AJ19))/(Datos!V19+Datos!AJ19))," - ")</f>
        <v>5.7306590257879654E-3</v>
      </c>
      <c r="F19" s="803">
        <f>IF(ISNUMBER((Datos!M19-Datos!W19)/Datos!W19),(Datos!M19-Datos!W19)/Datos!W19," - ")</f>
        <v>2.1079136690647484</v>
      </c>
      <c r="G19" s="804">
        <f>IF(ISNUMBER((Datos!N19-Datos!X19)/Datos!X19),(Datos!N19-Datos!X19)/Datos!X19," - ")</f>
        <v>0.13461538461538461</v>
      </c>
      <c r="H19" s="805">
        <f>IF(ISNUMBER((Tasas!B19-Datos!BD19)/Datos!BD19),(Tasas!B19-Datos!BD19)/Datos!BD19," - ")</f>
        <v>0.16766482840984917</v>
      </c>
      <c r="I19" s="806">
        <f>IF(ISNUMBER((Tasas!C19-Datos!BE19)/Datos!BE19),(Tasas!C19-Datos!BE19)/Datos!BE19," - ")</f>
        <v>-0.36217272436186893</v>
      </c>
      <c r="J19" s="807">
        <f>IF(ISNUMBER((Tasas!D19-Datos!BF19)/Datos!BF19),(Tasas!D19-Datos!BF19)/Datos!BF19," - ")</f>
        <v>0.72309023084824564</v>
      </c>
      <c r="K19" s="807">
        <f>IF(ISNUMBER((Tasas!E19-Datos!BG19)/Datos!BG19),(Tasas!E19-Datos!BG19)/Datos!BG19," - ")</f>
        <v>-0.14237697688521719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s74dl2Qu+W0UPPnxLfyw0wOjaS5Bi+skEhvhBqEB8lSCoj1N7iZTcxltnLzR9kWuBv+qEjmO344fGnYitQI+A==" saltValue="Fcoeru/H5Fc4X8GQqaOk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CISTIERNA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0.33333333333333331</v>
      </c>
      <c r="D10" s="444">
        <f>IF(ISNUMBER('Resol  Asuntos'!D10/NºAsuntos!G10),'Resol  Asuntos'!D10/NºAsuntos!G10," - ")</f>
        <v>0.66666666666666663</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0.97499999999999998</v>
      </c>
      <c r="C12" s="443">
        <f>IF(ISNUMBER(NºAsuntos!I12/NºAsuntos!G12),NºAsuntos!I12/NºAsuntos!G12," - ")</f>
        <v>0.25641025641025639</v>
      </c>
      <c r="D12" s="444">
        <f>IF(ISNUMBER('Resol  Asuntos'!D12/NºAsuntos!G12),'Resol  Asuntos'!D12/NºAsuntos!G12," - ")</f>
        <v>0.49038461538461536</v>
      </c>
      <c r="E12" s="445">
        <f>IF(ISNUMBER((NºAsuntos!C12+NºAsuntos!E12)/NºAsuntos!G12),(NºAsuntos!C12+NºAsuntos!E12)/NºAsuntos!G12," - ")</f>
        <v>1.2564102564102564</v>
      </c>
      <c r="G12" s="463"/>
    </row>
    <row r="13" spans="1:7" ht="14.25" thickTop="1" thickBot="1">
      <c r="A13" s="848" t="str">
        <f>Datos!A13</f>
        <v>TOTAL</v>
      </c>
      <c r="B13" s="858">
        <f>IF(ISNUMBER(NºAsuntos!G13/NºAsuntos!E13),NºAsuntos!G13/NºAsuntos!E13," - ")</f>
        <v>0.97360248447204967</v>
      </c>
      <c r="C13" s="859">
        <f>IF(ISNUMBER(NºAsuntos!I13/NºAsuntos!G13),NºAsuntos!I13/NºAsuntos!G13," - ")</f>
        <v>0.25677830940988838</v>
      </c>
      <c r="D13" s="860">
        <f>IF(ISNUMBER('Resol  Asuntos'!D13/NºAsuntos!G13),'Resol  Asuntos'!D13/NºAsuntos!G13," - ")</f>
        <v>0.49122807017543857</v>
      </c>
      <c r="E13" s="861">
        <f>IF(ISNUMBER((NºAsuntos!C13+NºAsuntos!E13)/NºAsuntos!G13),(NºAsuntos!C13+NºAsuntos!E13)/NºAsuntos!G13," - ")</f>
        <v>1.2567783094098883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1.0986666666666667</v>
      </c>
      <c r="C16" s="443">
        <f>IF(ISNUMBER(NºAsuntos!I16/NºAsuntos!G16),NºAsuntos!I16/NºAsuntos!G16," - ")</f>
        <v>0.45145631067961167</v>
      </c>
      <c r="D16" s="444">
        <f>IF(ISNUMBER('Resol  Asuntos'!D16/NºAsuntos!G16),'Resol  Asuntos'!D16/NºAsuntos!G16," - ")</f>
        <v>0.29854368932038833</v>
      </c>
      <c r="E16" s="445">
        <f>IF(ISNUMBER((NºAsuntos!C16+NºAsuntos!E16)/NºAsuntos!G16),(NºAsuntos!C16+NºAsuntos!E16)/NºAsuntos!G16," - ")</f>
        <v>1.4029126213592233</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0.5</v>
      </c>
      <c r="D17" s="444">
        <f>IF(ISNUMBER('Resol  Asuntos'!D17/NºAsuntos!G17),'Resol  Asuntos'!D17/NºAsuntos!G17," - ")</f>
        <v>0.125</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1.0909090909090908</v>
      </c>
      <c r="C18" s="859">
        <f>IF(ISNUMBER(NºAsuntos!I18/NºAsuntos!G18),NºAsuntos!I18/NºAsuntos!G18," - ")</f>
        <v>0.45238095238095238</v>
      </c>
      <c r="D18" s="862">
        <f>IF(ISNUMBER('Resol  Asuntos'!D18/NºAsuntos!G18),'Resol  Asuntos'!D18/NºAsuntos!G18," - ")</f>
        <v>0.29523809523809524</v>
      </c>
      <c r="E18" s="861">
        <f>IF(ISNUMBER((NºAsuntos!C18+NºAsuntos!E18)/NºAsuntos!G18),(NºAsuntos!C18+NºAsuntos!E18)/NºAsuntos!G18," - ")</f>
        <v>1.4047619047619047</v>
      </c>
      <c r="G18" s="463"/>
    </row>
    <row r="19" spans="1:7" ht="15.75" customHeight="1" thickTop="1" thickBot="1">
      <c r="A19" s="793" t="str">
        <f>Datos!A19</f>
        <v>TOTAL JURISDICCIONES</v>
      </c>
      <c r="B19" s="808">
        <f>IF(ISNUMBER(NºAsuntos!G19/NºAsuntos!E19),NºAsuntos!G19/NºAsuntos!E19," - ")</f>
        <v>1.0174927113702623</v>
      </c>
      <c r="C19" s="809">
        <f>IF(ISNUMBER(NºAsuntos!I19/NºAsuntos!G19),NºAsuntos!I19/NºAsuntos!G19," - ")</f>
        <v>0.33524355300859598</v>
      </c>
      <c r="D19" s="810">
        <f>IF(ISNUMBER('Resol  Asuntos'!D19/NºAsuntos!G19),'Resol  Asuntos'!D19/NºAsuntos!G19," - ")</f>
        <v>0.41260744985673353</v>
      </c>
      <c r="E19" s="811">
        <f>IF(ISNUMBER((NºAsuntos!C19+NºAsuntos!E19)/NºAsuntos!G19),(NºAsuntos!C19+NºAsuntos!E19)/NºAsuntos!G19," - ")</f>
        <v>1.3161413562559694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KSRmNszZRdsYauxQpwcifFdEJx1CPfLot2419WcI2MPy+KPbjm3u+5vfypVpmMb8tF3IqtDXEqfNZ/nv3E0Hw==" saltValue="66bOBqbccIsvNm8y4yUR9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CISTIERNA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3.6666666666666665</v>
      </c>
      <c r="AN10" s="244">
        <f>IF(ISNUMBER('Resol  Asuntos'!D10/NºAsuntos!G10),'Resol  Asuntos'!D10/NºAsuntos!G10," - ")</f>
        <v>0.66666666666666663</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186</v>
      </c>
      <c r="Y12" s="334">
        <f t="shared" si="0"/>
        <v>186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306</v>
      </c>
      <c r="AJ12" s="229" t="str">
        <f>IF(ISNUMBER(Datos!BW12),Datos!BW12," - ")</f>
        <v xml:space="preserve"> - </v>
      </c>
      <c r="AK12" s="228" t="str">
        <f>IF(ISNUMBER(Datos!BX12),Datos!BX12," - ")</f>
        <v xml:space="preserve"> - </v>
      </c>
      <c r="AL12" s="243">
        <f>IF(ISNUMBER(NºAsuntos!G12/NºAsuntos!E12),NºAsuntos!G12/NºAsuntos!E12," - ")</f>
        <v>0.97499999999999998</v>
      </c>
      <c r="AM12" s="260">
        <f>IF(ISNUMBER(((NºAsuntos!I12/NºAsuntos!G12)*11)/factor_trimestre),((NºAsuntos!I12/NºAsuntos!G12)*11)/factor_trimestre," - ")</f>
        <v>2.8205128205128203</v>
      </c>
      <c r="AN12" s="244">
        <f>IF(ISNUMBER('Resol  Asuntos'!D12/NºAsuntos!G12),'Resol  Asuntos'!D12/NºAsuntos!G12," - ")</f>
        <v>0.49038461538461536</v>
      </c>
      <c r="AO12" s="245">
        <f>IF(ISNUMBER((NºAsuntos!C12+NºAsuntos!E12)/NºAsuntos!G12),(NºAsuntos!C12+NºAsuntos!E12)/NºAsuntos!G12," - ")</f>
        <v>1.2564102564102564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186</v>
      </c>
      <c r="Y13" s="868">
        <f t="shared" si="4"/>
        <v>189</v>
      </c>
      <c r="Z13" s="868">
        <f t="shared" si="4"/>
        <v>0</v>
      </c>
      <c r="AA13" s="868">
        <f t="shared" si="4"/>
        <v>1</v>
      </c>
      <c r="AB13" s="868">
        <f t="shared" si="4"/>
        <v>203</v>
      </c>
      <c r="AC13" s="868">
        <f t="shared" si="4"/>
        <v>1</v>
      </c>
      <c r="AD13" s="868">
        <f t="shared" si="4"/>
        <v>0</v>
      </c>
      <c r="AE13" s="872">
        <f t="shared" si="4"/>
        <v>0</v>
      </c>
      <c r="AF13" s="865">
        <f t="shared" si="4"/>
        <v>0</v>
      </c>
      <c r="AG13" s="873">
        <f t="shared" si="4"/>
        <v>0</v>
      </c>
      <c r="AH13" s="870">
        <f t="shared" si="4"/>
        <v>0</v>
      </c>
      <c r="AI13" s="865">
        <f t="shared" si="4"/>
        <v>308</v>
      </c>
      <c r="AJ13" s="867">
        <f t="shared" si="4"/>
        <v>0</v>
      </c>
      <c r="AK13" s="870">
        <f>SUBTOTAL(9,AK9:AK12)</f>
        <v>0</v>
      </c>
      <c r="AL13" s="874">
        <f>IF(ISNUMBER(NºAsuntos!G13/NºAsuntos!E13),NºAsuntos!G13/NºAsuntos!E13," - ")</f>
        <v>0.97360248447204967</v>
      </c>
      <c r="AM13" s="874">
        <f>IF(ISNUMBER(((NºAsuntos!I13/NºAsuntos!G13)*11)/factor_trimestre),((NºAsuntos!I13/NºAsuntos!G13)*11)/factor_trimestre," - ")</f>
        <v>2.8245614035087723</v>
      </c>
      <c r="AN13" s="875">
        <f>IF(ISNUMBER('Resol  Asuntos'!D13/NºAsuntos!G13),'Resol  Asuntos'!D13/NºAsuntos!G13," - ")</f>
        <v>0.49122807017543857</v>
      </c>
      <c r="AO13" s="876">
        <f>IF(ISNUMBER((NºAsuntos!C13+NºAsuntos!E13)/NºAsuntos!G13),(NºAsuntos!C13+NºAsuntos!E13)/NºAsuntos!G13," - ")</f>
        <v>1.2567783094098883</v>
      </c>
      <c r="AP13" s="877" t="str">
        <f t="shared" si="2"/>
        <v xml:space="preserve"> - </v>
      </c>
      <c r="AQ13" s="877" t="str">
        <f>IF(ISNUMBER((H13-W13+K13)/(F13)),(H13-W13+K13)/(F13)," - ")</f>
        <v xml:space="preserve"> - </v>
      </c>
      <c r="AR13" s="878">
        <f>IF(ISNUMBER((Datos!P13-Datos!Q13)/(Datos!R13-Datos!P13+Datos!Q13)),(Datos!P13-Datos!Q13)/(Datos!R13-Datos!P13+Datos!Q13)," - ")</f>
        <v>-8.5585585585585586E-2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223</v>
      </c>
      <c r="G16" s="333">
        <f>IF(ISNUMBER(IF(D_I="SI",Datos!I16,Datos!I16+Datos!AC16)),IF(D_I="SI",Datos!I16,Datos!I16+Datos!AC16)," - ")</f>
        <v>203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412</v>
      </c>
      <c r="X16" s="226">
        <f>IF(ISNUMBER(Datos!Q16),Datos!Q16," - ")</f>
        <v>27</v>
      </c>
      <c r="Y16" s="334">
        <f t="shared" ref="Y16:Y17" si="7">SUM(W16:X16)</f>
        <v>439</v>
      </c>
      <c r="Z16" s="335" t="str">
        <f>IF(ISNUMBER(Datos!CC16),Datos!CC16," - ")</f>
        <v xml:space="preserve"> - </v>
      </c>
      <c r="AA16" s="332">
        <f>IF(ISNUMBER(IF(D_I="SI",Datos!L16,Datos!L16+Datos!AF16)),IF(D_I="SI",Datos!L16,Datos!L16+Datos!AF16)," - ")</f>
        <v>186</v>
      </c>
      <c r="AB16" s="334">
        <f>IF(ISNUMBER(Datos!R16),Datos!R16," - ")</f>
        <v>17</v>
      </c>
      <c r="AC16" s="334">
        <f t="shared" si="6"/>
        <v>203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123</v>
      </c>
      <c r="AJ16" s="231" t="str">
        <f>IF(ISNUMBER(Datos!BW16),Datos!BW16," - ")</f>
        <v xml:space="preserve"> - </v>
      </c>
      <c r="AK16" s="232" t="str">
        <f>IF(ISNUMBER(Datos!BX16),Datos!BX16," - ")</f>
        <v xml:space="preserve"> - </v>
      </c>
      <c r="AL16" s="243">
        <f>IF(ISNUMBER(NºAsuntos!G16/NºAsuntos!E16),NºAsuntos!G16/NºAsuntos!E16," - ")</f>
        <v>1.0986666666666667</v>
      </c>
      <c r="AM16" s="260">
        <f>IF(ISNUMBER(((NºAsuntos!I16/NºAsuntos!G16)*11)/factor_trimestre),((NºAsuntos!I16/NºAsuntos!G16)*11)/factor_trimestre," - ")</f>
        <v>4.9660194174757279</v>
      </c>
      <c r="AN16" s="244">
        <f>IF(ISNUMBER('Resol  Asuntos'!D16/NºAsuntos!G16),'Resol  Asuntos'!D16/NºAsuntos!G16," - ")</f>
        <v>0.29854368932038833</v>
      </c>
      <c r="AO16" s="245">
        <f>IF(ISNUMBER((NºAsuntos!C16+NºAsuntos!E16)/NºAsuntos!G16),(NºAsuntos!C16+NºAsuntos!E16)/NºAsuntos!G16," - ")</f>
        <v>1.4029126213592233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5.5</v>
      </c>
      <c r="AN17" s="244">
        <f>IF(ISNUMBER('Resol  Asuntos'!D17/NºAsuntos!G17),'Resol  Asuntos'!D17/NºAsuntos!G17," - ")</f>
        <v>0.125</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223</v>
      </c>
      <c r="G18" s="866">
        <f>SUBTOTAL(9,G15:G17)</f>
        <v>205</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420</v>
      </c>
      <c r="X18" s="867">
        <f t="shared" si="11"/>
        <v>27</v>
      </c>
      <c r="Y18" s="868">
        <f t="shared" si="11"/>
        <v>447</v>
      </c>
      <c r="Z18" s="868">
        <f t="shared" si="11"/>
        <v>0</v>
      </c>
      <c r="AA18" s="868">
        <f t="shared" si="11"/>
        <v>190</v>
      </c>
      <c r="AB18" s="868">
        <f t="shared" si="11"/>
        <v>17</v>
      </c>
      <c r="AC18" s="868">
        <f t="shared" si="11"/>
        <v>207</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1.0909090909090908</v>
      </c>
      <c r="AM18" s="874">
        <f>IF(ISNUMBER(((NºAsuntos!I18/NºAsuntos!G18)*11)/factor_trimestre),((NºAsuntos!I18/NºAsuntos!G18)*11)/factor_trimestre," - ")</f>
        <v>4.9761904761904763</v>
      </c>
      <c r="AN18" s="875">
        <f>IF(ISNUMBER('Resol  Asuntos'!D18/NºAsuntos!G18),'Resol  Asuntos'!D18/NºAsuntos!G18," - ")</f>
        <v>0.29523809523809524</v>
      </c>
      <c r="AO18" s="876">
        <f>IF(ISNUMBER((NºAsuntos!C18+NºAsuntos!E18)/NºAsuntos!G18),(NºAsuntos!C18+NºAsuntos!E18)/NºAsuntos!G18," - ")</f>
        <v>1.4047619047619047</v>
      </c>
      <c r="AP18" s="877" t="str">
        <f t="shared" si="2"/>
        <v xml:space="preserve"> - </v>
      </c>
      <c r="AQ18" s="877">
        <f>IF(ISNUMBER((H18-W18+K18)/(F18)),(H18-W18+K18)/(F18)," - ")</f>
        <v>-1.883408071748879</v>
      </c>
      <c r="AR18" s="878">
        <f>IF(ISNUMBER((Datos!P18-Datos!Q18)/(Datos!R18-Datos!P18+Datos!Q18)),(Datos!P18-Datos!Q18)/(Datos!R18-Datos!P18+Datos!Q18)," - ")</f>
        <v>-0.15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223</v>
      </c>
      <c r="G19" s="821">
        <f t="shared" si="13"/>
        <v>205</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423</v>
      </c>
      <c r="X19" s="821">
        <f t="shared" si="14"/>
        <v>213</v>
      </c>
      <c r="Y19" s="828">
        <f t="shared" si="14"/>
        <v>636</v>
      </c>
      <c r="Z19" s="828">
        <f t="shared" si="14"/>
        <v>0</v>
      </c>
      <c r="AA19" s="828">
        <f t="shared" si="14"/>
        <v>191</v>
      </c>
      <c r="AB19" s="828">
        <f t="shared" si="14"/>
        <v>220</v>
      </c>
      <c r="AC19" s="828">
        <f t="shared" si="14"/>
        <v>208</v>
      </c>
      <c r="AD19" s="828">
        <f t="shared" si="14"/>
        <v>0</v>
      </c>
      <c r="AE19" s="830">
        <f t="shared" si="14"/>
        <v>0</v>
      </c>
      <c r="AF19" s="831">
        <f t="shared" si="14"/>
        <v>0</v>
      </c>
      <c r="AG19" s="832">
        <f t="shared" si="14"/>
        <v>0</v>
      </c>
      <c r="AH19" s="830">
        <f t="shared" si="14"/>
        <v>0</v>
      </c>
      <c r="AI19" s="820">
        <f t="shared" si="14"/>
        <v>432</v>
      </c>
      <c r="AJ19" s="820">
        <f t="shared" si="14"/>
        <v>0</v>
      </c>
      <c r="AK19" s="830">
        <f t="shared" si="14"/>
        <v>0</v>
      </c>
      <c r="AL19" s="884">
        <f>IF(ISNUMBER(NºAsuntos!G19/NºAsuntos!E19),NºAsuntos!G19/NºAsuntos!E19," - ")</f>
        <v>1.0174927113702623</v>
      </c>
      <c r="AM19" s="885">
        <f>IF(ISNUMBER(((NºAsuntos!I19/NºAsuntos!G19)*11)/factor_trimestre),((NºAsuntos!I19/NºAsuntos!G19)*11)/factor_trimestre," - ")</f>
        <v>3.6876790830945558</v>
      </c>
      <c r="AN19" s="885">
        <f>IF(ISNUMBER('Resol  Asuntos'!D19/NºAsuntos!G19),'Resol  Asuntos'!D19/NºAsuntos!G19," - ")</f>
        <v>0.41260744985673353</v>
      </c>
      <c r="AO19" s="886">
        <f>IF(ISNUMBER((NºAsuntos!C19+NºAsuntos!E19)/NºAsuntos!G19),(NºAsuntos!C19+NºAsuntos!E19)/NºAsuntos!G19," - ")</f>
        <v>1.3161413562559694</v>
      </c>
      <c r="AP19" s="887" t="str">
        <f t="shared" si="2"/>
        <v xml:space="preserve"> - </v>
      </c>
      <c r="AQ19" s="888">
        <f>IF(OR(ISNUMBER(FIND("01",Criterios!A8,1)),ISNUMBER(FIND("02",Criterios!A8,1)),ISNUMBER(FIND("03",Criterios!A8,1)),ISNUMBER(FIND("04",Criterios!A8,1))),(I19-W19+K19)/(F19-K19),(H19-W19+K19)/(F19-K19))</f>
        <v>-1.8968609865470851</v>
      </c>
      <c r="AR19" s="889">
        <f>IF(ISNUMBER((Datos!P19-Datos!Q19)/(Datos!R19-Datos!P19+Datos!Q19)),(Datos!P19-Datos!Q19)/(Datos!R19-Datos!P19+Datos!Q19)," - ")</f>
        <v>-9.0909090909090912E-2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128.74911002928653</v>
      </c>
      <c r="G21" s="253">
        <f>IF(ISNUMBER(STDEV(G8:G18)),STDEV(G8:G18),"-")</f>
        <v>111.37549102024197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225.32354515229872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137.54562879277552</v>
      </c>
      <c r="AJ21" s="252">
        <f t="shared" si="18"/>
        <v>0</v>
      </c>
      <c r="AK21" s="254">
        <f t="shared" si="18"/>
        <v>0</v>
      </c>
      <c r="AL21" s="249">
        <f t="shared" si="18"/>
        <v>0.14533818123604719</v>
      </c>
      <c r="AM21" s="250">
        <f t="shared" si="18"/>
        <v>1.1768906554998206</v>
      </c>
      <c r="AN21" s="250">
        <f t="shared" si="18"/>
        <v>0.19199774068723682</v>
      </c>
      <c r="AO21" s="251">
        <f t="shared" si="18"/>
        <v>9.543183023109468E-2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zeB4kZ/BZXUjKocnqJUXKP3G8PoqzfZBbAdFQkX/9Er67jz8vxI9iE5a/NAbhiyIyBCkcyqtVtKvWCQgfEQKg==" saltValue="onYe4vK3hpjBvMR/ZuYy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CISTIERNA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2.4</v>
      </c>
      <c r="I12" s="350">
        <f>IF(ISNUMBER((Tasas!C12-Datos!BE12)/Datos!BE12),(Tasas!C12-Datos!BE12)/Datos!BE12," - ")</f>
        <v>-0.34650997150997159</v>
      </c>
      <c r="J12" s="349">
        <f>IF(ISNUMBER((Tasas!D12-Datos!BF12)/Datos!BF12),(Tasas!D12-Datos!BF12)/Datos!BF12," - ")</f>
        <v>0.63610139860139858</v>
      </c>
      <c r="K12" s="351">
        <f>IF(ISNUMBER((Tasas!E12-Datos!BG12)/Datos!BG12),(Tasas!E12-Datos!BG12)/Datos!BG12," - ")</f>
        <v>-0.10811883152308688</v>
      </c>
      <c r="M12" t="e">
        <f>IF(Monitorios="SI",Datos!CE12,0)</f>
        <v>#REF!</v>
      </c>
      <c r="N12" t="e">
        <f>IF(Monitorios="SI",Datos!CF12,0)</f>
        <v>#REF!</v>
      </c>
      <c r="O12" t="e">
        <f>IF(Monitorios="SI",Datos!CG12,0)</f>
        <v>#REF!</v>
      </c>
      <c r="P12" t="e">
        <f>IF(Monitorios="SI",Datos!CH12,0)</f>
        <v>#REF!</v>
      </c>
      <c r="Q12">
        <f>IF(J_V="SI",0,Datos!AG12)</f>
        <v>2</v>
      </c>
      <c r="R12">
        <f>IF(J_V="SI",0,Datos!AH12)</f>
        <v>43</v>
      </c>
      <c r="S12">
        <f>IF(J_V="SI",0,Datos!AI12)</f>
        <v>40</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2.4222222222222221</v>
      </c>
      <c r="I13" s="357">
        <f>IF(ISNUMBER((Tasas!C13-Datos!BE13)/Datos!BE13),(Tasas!C13-Datos!BE13)/Datos!BE13," - ")</f>
        <v>-0.3455719475456317</v>
      </c>
      <c r="J13" s="355">
        <f>IF(ISNUMBER((Tasas!D13-Datos!BF13)/Datos!BF13),(Tasas!D13-Datos!BF13)/Datos!BF13," - ")</f>
        <v>0.63891547049441788</v>
      </c>
      <c r="K13" s="358">
        <f>IF(ISNUMBER((Tasas!E13-Datos!BG13)/Datos!BG13),(Tasas!E13-Datos!BG13)/Datos!BG13," - ")</f>
        <v>-0.10785756372644294</v>
      </c>
      <c r="M13" t="e">
        <f>IF(Monitorios="SI",Datos!CE13,0)</f>
        <v>#REF!</v>
      </c>
      <c r="N13" t="e">
        <f>IF(Monitorios="SI",Datos!CF13,0)</f>
        <v>#REF!</v>
      </c>
      <c r="O13" t="e">
        <f>IF(Monitorios="SI",Datos!CG13,0)</f>
        <v>#REF!</v>
      </c>
      <c r="P13" t="e">
        <f>IF(Monitorios="SI",Datos!CH13,0)</f>
        <v>#REF!</v>
      </c>
      <c r="Q13">
        <f>IF(J_V="SI",0,Datos!AG13)</f>
        <v>2</v>
      </c>
      <c r="R13">
        <f>IF(J_V="SI",0,Datos!AH13)</f>
        <v>43</v>
      </c>
      <c r="S13">
        <f>IF(J_V="SI",0,Datos!AI13)</f>
        <v>40</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v>
      </c>
      <c r="E16" s="348">
        <f>IF(ISNUMBER(
   IF(D_I="SI",(Datos!J16-Datos!T16)/Datos!T16,(Datos!J16+Datos!AD16-(Datos!T16+Datos!AL16))/(Datos!T16+Datos!AL16))
     ),IF(D_I="SI",(Datos!J16-Datos!T16)/Datos!T16,(Datos!J16+Datos!AD16-(Datos!T16+Datos!AL16))/(Datos!T16+Datos!AL16))," - ")</f>
        <v>8.6956521739130432E-2</v>
      </c>
      <c r="F16" s="348">
        <f>IF(ISNUMBER(
   IF(D_I="SI",(Datos!K16-Datos!U16)/Datos!U16,(Datos!K16+Datos!AE16-(Datos!U16+Datos!AM16))/(Datos!U16+Datos!AM16))
     ),IF(D_I="SI",(Datos!K16-Datos!U16)/Datos!U16,(Datos!K16+Datos!AE16-(Datos!U16+Datos!AM16))/(Datos!U16+Datos!AM16))," - ")</f>
        <v>0.46099290780141844</v>
      </c>
      <c r="G16" s="349">
        <f>IF(ISNUMBER(
   IF(D_I="SI",(Datos!L16-Datos!V16)/Datos!V16,(Datos!L16+Datos!AF16-(Datos!V16+Datos!AN16))/(Datos!V16+Datos!AN16))
     ),IF(D_I="SI",(Datos!L16-Datos!V16)/Datos!V16,(Datos!L16+Datos!AF16-(Datos!V16+Datos!AN16))/(Datos!V16+Datos!AN16))," - ")</f>
        <v>-8.3743842364532015E-2</v>
      </c>
      <c r="H16" s="230">
        <f>IF(ISNUMBER((Datos!M16-Datos!W16)/Datos!W16),(Datos!M16-Datos!W16)/Datos!W16," - ")</f>
        <v>1.510204081632653</v>
      </c>
      <c r="I16" s="350">
        <f>IF(ISNUMBER((Tasas!C16-Datos!BE16)/Datos!BE16),(Tasas!C16-Datos!BE16)/Datos!BE16," - ")</f>
        <v>-0.37285379501650001</v>
      </c>
      <c r="J16" s="349">
        <f>IF(ISNUMBER((Tasas!D16-Datos!BF16)/Datos!BF16),(Tasas!D16-Datos!BF16)/Datos!BF16," - ")</f>
        <v>0.71814939568060221</v>
      </c>
      <c r="K16" s="351">
        <f>IF(ISNUMBER((Tasas!E16-Datos!BG16)/Datos!BG16),(Tasas!E16-Datos!BG16)/Datos!BG16," - ")</f>
        <v>-0.18428585727154437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-0.375</v>
      </c>
      <c r="F17" s="348">
        <f>IF(ISNUMBER(
   IF(D_I="SI",(Datos!K17-Datos!U17)/Datos!U17,(Datos!K17+Datos!AE17-(Datos!U17+Datos!AM17))/(Datos!U17+Datos!AM17))
     ),IF(D_I="SI",(Datos!K17-Datos!U17)/Datos!U17,(Datos!K17+Datos!AE17-(Datos!U17+Datos!AM17))/(Datos!U17+Datos!AM17))," - ")</f>
        <v>-0.46666666666666667</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2.7500000000000004</v>
      </c>
      <c r="J17" s="349" t="str">
        <f>IF(ISNUMBER((Tasas!D17-Datos!BF17)/Datos!BF17),(Tasas!D17-Datos!BF17)/Datos!BF17," - ")</f>
        <v xml:space="preserve"> - </v>
      </c>
      <c r="K17" s="351">
        <f>IF(ISNUMBER((Tasas!E17-Datos!BG17)/Datos!BG17),(Tasas!E17-Datos!BG17)/Datos!BG17," - ")</f>
        <v>0.3235294117647059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0.45390070921985815</v>
      </c>
      <c r="E18" s="354">
        <f>IF(ISNUMBER(
   IF(D_I="SI",(Datos!J18-Datos!T18)/Datos!T18,(Datos!J18+Datos!AD18-(Datos!T18+Datos!AL18))/(Datos!T18+Datos!AL18))
     ),IF(D_I="SI",(Datos!J18-Datos!T18)/Datos!T18,(Datos!J18+Datos!AD18-(Datos!T18+Datos!AL18))/(Datos!T18+Datos!AL18))," - ")</f>
        <v>6.6481994459833799E-2</v>
      </c>
      <c r="F18" s="354">
        <f>IF(ISNUMBER(
   IF(D_I="SI",(Datos!K18-Datos!U18)/Datos!U18,(Datos!K18+Datos!AE18-(Datos!U18+Datos!AM18))/(Datos!U18+Datos!AM18))
     ),IF(D_I="SI",(Datos!K18-Datos!U18)/Datos!U18,(Datos!K18+Datos!AE18-(Datos!U18+Datos!AM18))/(Datos!U18+Datos!AM18))," - ")</f>
        <v>0.41414141414141414</v>
      </c>
      <c r="G18" s="355">
        <f>IF(ISNUMBER(
   IF(D_I="SI",(Datos!L18-Datos!V18)/Datos!V18,(Datos!L18+Datos!AF18-(Datos!V18+Datos!AN18))/(Datos!V18+Datos!AN18))
     ),IF(D_I="SI",(Datos!L18-Datos!V18)/Datos!V18,(Datos!L18+Datos!AF18-(Datos!V18+Datos!AN18))/(Datos!V18+Datos!AN18))," - ")</f>
        <v>-7.3170731707317069E-2</v>
      </c>
      <c r="H18" s="356">
        <f>IF(ISNUMBER((Datos!M18-Datos!W18)/Datos!W18),(Datos!M18-Datos!W18)/Datos!W18," - ")</f>
        <v>1.5306122448979591</v>
      </c>
      <c r="I18" s="357">
        <f>IF(ISNUMBER((Tasas!C18-Datos!BE18)/Datos!BE18),(Tasas!C18-Datos!BE18)/Datos!BE18," - ")</f>
        <v>-0.34459930313588849</v>
      </c>
      <c r="J18" s="355">
        <f>IF(ISNUMBER((Tasas!D18-Datos!BF18)/Datos!BF18),(Tasas!D18-Datos!BF18)/Datos!BF18," - ")</f>
        <v>0.78950437317784261</v>
      </c>
      <c r="K18" s="358">
        <f>IF(ISNUMBER((Tasas!E18-Datos!BG18)/Datos!BG18),(Tasas!E18-Datos!BG18)/Datos!BG18," - ")</f>
        <v>-0.168895845190666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0.35797665369649806</v>
      </c>
      <c r="E19" s="363">
        <f>IF(ISNUMBER(
   IF(J_V="SI",(Datos!J19-Datos!T19)/Datos!T19,(Datos!J19+Datos!Z19-(Datos!T19+Datos!AH19))/(Datos!T19+Datos!AH19))
     ),IF(J_V="SI",(Datos!J19-Datos!T19)/Datos!T19,(Datos!J19+Datos!Z19-(Datos!T19+Datos!AH19))/(Datos!T19+Datos!AH19))," - ")</f>
        <v>0.35039370078740156</v>
      </c>
      <c r="F19" s="363">
        <f>IF(ISNUMBER(
   IF(J_V="SI",(Datos!K19-Datos!U19)/Datos!U19,(Datos!K19+Datos!AA19-(Datos!U19+Datos!AI19))/(Datos!U19+Datos!AI19))
     ),IF(J_V="SI",(Datos!K19-Datos!U19)/Datos!U19,(Datos!K19+Datos!AA19-(Datos!U19+Datos!AI19))/(Datos!U19+Datos!AI19))," - ")</f>
        <v>0.57680722891566261</v>
      </c>
      <c r="G19" s="364">
        <f>IF(ISNUMBER(
   IF(J_V="SI",(Datos!L19-Datos!V19)/Datos!V19,(Datos!L19+Datos!AB19-(Datos!V19+Datos!AJ19))/(Datos!V19+Datos!AJ19))
     ),IF(J_V="SI",(Datos!L19-Datos!V19)/Datos!V19,(Datos!L19+Datos!AB19-(Datos!V19+Datos!AJ19))/(Datos!V19+Datos!AJ19))," - ")</f>
        <v>5.7306590257879654E-3</v>
      </c>
      <c r="H19" s="365">
        <f>IF(ISNUMBER((Datos!M19-Datos!W19)/Datos!W19),(Datos!M19-Datos!W19)/Datos!W19," - ")</f>
        <v>2.1079136690647484</v>
      </c>
      <c r="I19" s="362">
        <f>IF(ISNUMBER((Tasas!C19-Datos!BE19)/Datos!BE19),(Tasas!C19-Datos!BE19)/Datos!BE19," - ")</f>
        <v>-0.36217272436186893</v>
      </c>
      <c r="J19" s="363">
        <f>IF(ISNUMBER((Tasas!D19-Datos!BF19)/Datos!BF19),(Tasas!D19-Datos!BF19)/Datos!BF19," - ")</f>
        <v>0.72309023084824564</v>
      </c>
      <c r="K19" s="364">
        <f>IF(ISNUMBER((Tasas!E19-Datos!BG19)/Datos!BG19),(Tasas!E19-Datos!BG19)/Datos!BG19," - ")</f>
        <v>-0.14237697688521719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0.31642262111586145</v>
      </c>
      <c r="E21" s="278">
        <f t="shared" si="1"/>
        <v>0.26100108099292713</v>
      </c>
      <c r="F21" s="278">
        <f t="shared" si="1"/>
        <v>0.52258495701293972</v>
      </c>
      <c r="G21" s="279">
        <f t="shared" si="1"/>
        <v>0.62267004717924612</v>
      </c>
      <c r="H21" s="285">
        <f t="shared" si="1"/>
        <v>0.51439508209332008</v>
      </c>
      <c r="I21" s="277">
        <f t="shared" si="1"/>
        <v>1.3874786925794531</v>
      </c>
      <c r="J21" s="278">
        <f t="shared" si="1"/>
        <v>7.3211355425956484E-2</v>
      </c>
      <c r="K21" s="279">
        <f t="shared" si="1"/>
        <v>0.21119576789125183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9Kuu6xQg2O3USPF9SQEuVtWzORdECu3PrFTSzI5K10Z+uD01XE8xL/ek/Ne+2mgoYMYN+Ft2EELHRwJ+bYvcQ==" saltValue="fJI9qTgz4zI/+9DIU84H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